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ano.silvestri\Desktop\BACKUP CHRISTIANO\PROJETOS\SISTEMAS HIDRAULICOS E DE SANEAMENTO\ESGOTO MENINO DEUS\ETAPA 02\"/>
    </mc:Choice>
  </mc:AlternateContent>
  <xr:revisionPtr revIDLastSave="0" documentId="13_ncr:1_{DED6420C-CA82-4FE4-B5CE-7FC604010C7E}" xr6:coauthVersionLast="47" xr6:coauthVersionMax="47" xr10:uidLastSave="{00000000-0000-0000-0000-000000000000}"/>
  <bookViews>
    <workbookView xWindow="28800" yWindow="90" windowWidth="28590" windowHeight="15525" xr2:uid="{00000000-000D-0000-FFFF-FFFF00000000}"/>
  </bookViews>
  <sheets>
    <sheet name="ORÇAMENTO" sheetId="2" r:id="rId1"/>
    <sheet name="CÁLCULOS" sheetId="5" r:id="rId2"/>
    <sheet name="CRONOGRAMA" sheetId="4" r:id="rId3"/>
  </sheets>
  <definedNames>
    <definedName name="_xlnm.Print_Area" localSheetId="2">CRONOGRAMA!$A$1:$P$30</definedName>
    <definedName name="_xlnm.Print_Area" localSheetId="0">ORÇAMENTO!$A$1:$J$279</definedName>
  </definedNames>
  <calcPr calcId="191029"/>
</workbook>
</file>

<file path=xl/calcChain.xml><?xml version="1.0" encoding="utf-8"?>
<calcChain xmlns="http://schemas.openxmlformats.org/spreadsheetml/2006/main">
  <c r="F17" i="2" l="1"/>
  <c r="I17" i="2" s="1"/>
  <c r="F16" i="2"/>
  <c r="I16" i="2" s="1"/>
  <c r="I18" i="2" l="1"/>
  <c r="F24" i="2" l="1"/>
  <c r="F30" i="2"/>
  <c r="S21" i="2"/>
  <c r="G21" i="2" l="1"/>
  <c r="F21" i="2"/>
  <c r="F20" i="2"/>
  <c r="F27" i="2"/>
  <c r="I27" i="2" s="1"/>
  <c r="I28" i="2" s="1"/>
  <c r="S30" i="2"/>
  <c r="G30" i="2" s="1"/>
  <c r="I30" i="2" s="1"/>
  <c r="I31" i="2" s="1"/>
  <c r="S24" i="2"/>
  <c r="G24" i="2" s="1"/>
  <c r="I24" i="2" s="1"/>
  <c r="I25" i="2" s="1"/>
  <c r="S20" i="2"/>
  <c r="G20" i="2" s="1"/>
  <c r="B18" i="4"/>
  <c r="B17" i="4"/>
  <c r="B16" i="4"/>
  <c r="B15" i="4"/>
  <c r="K67" i="5"/>
  <c r="M68" i="5"/>
  <c r="M67" i="5"/>
  <c r="N14" i="5"/>
  <c r="N13" i="5"/>
  <c r="K37" i="2"/>
  <c r="D37" i="2" s="1"/>
  <c r="Q117" i="2"/>
  <c r="R117" i="2" s="1"/>
  <c r="F117" i="2" s="1"/>
  <c r="Q38" i="2"/>
  <c r="S38" i="2" s="1"/>
  <c r="G38" i="2" s="1"/>
  <c r="Q41" i="2"/>
  <c r="R41" i="2" s="1"/>
  <c r="F41" i="2" s="1"/>
  <c r="Q46" i="2"/>
  <c r="S46" i="2" s="1"/>
  <c r="G46" i="2" s="1"/>
  <c r="Q47" i="2"/>
  <c r="S47" i="2" s="1"/>
  <c r="G47" i="2" s="1"/>
  <c r="Q48" i="2"/>
  <c r="S48" i="2" s="1"/>
  <c r="G48" i="2" s="1"/>
  <c r="Q51" i="2"/>
  <c r="S51" i="2" s="1"/>
  <c r="G51" i="2" s="1"/>
  <c r="Q52" i="2"/>
  <c r="R52" i="2" s="1"/>
  <c r="F52" i="2" s="1"/>
  <c r="Q53" i="2"/>
  <c r="S53" i="2" s="1"/>
  <c r="G53" i="2" s="1"/>
  <c r="Q56" i="2"/>
  <c r="R56" i="2" s="1"/>
  <c r="F56" i="2" s="1"/>
  <c r="Q57" i="2"/>
  <c r="R57" i="2" s="1"/>
  <c r="F57" i="2" s="1"/>
  <c r="Q60" i="2"/>
  <c r="S60" i="2" s="1"/>
  <c r="G60" i="2" s="1"/>
  <c r="Q63" i="2"/>
  <c r="S63" i="2" s="1"/>
  <c r="G63" i="2" s="1"/>
  <c r="Q66" i="2"/>
  <c r="S66" i="2" s="1"/>
  <c r="G66" i="2" s="1"/>
  <c r="Q71" i="2"/>
  <c r="R71" i="2" s="1"/>
  <c r="F71" i="2" s="1"/>
  <c r="Q72" i="2"/>
  <c r="S72" i="2" s="1"/>
  <c r="G72" i="2" s="1"/>
  <c r="Q75" i="2"/>
  <c r="S75" i="2" s="1"/>
  <c r="G75" i="2" s="1"/>
  <c r="Q76" i="2"/>
  <c r="R76" i="2" s="1"/>
  <c r="F76" i="2" s="1"/>
  <c r="Q77" i="2"/>
  <c r="R77" i="2" s="1"/>
  <c r="F77" i="2" s="1"/>
  <c r="Q78" i="2"/>
  <c r="R78" i="2" s="1"/>
  <c r="F78" i="2" s="1"/>
  <c r="Q81" i="2"/>
  <c r="S81" i="2" s="1"/>
  <c r="G81" i="2" s="1"/>
  <c r="Q84" i="2"/>
  <c r="S84" i="2" s="1"/>
  <c r="G84" i="2" s="1"/>
  <c r="Q85" i="2"/>
  <c r="R85" i="2" s="1"/>
  <c r="F85" i="2" s="1"/>
  <c r="Q88" i="2"/>
  <c r="S88" i="2" s="1"/>
  <c r="G88" i="2" s="1"/>
  <c r="Q89" i="2"/>
  <c r="S89" i="2" s="1"/>
  <c r="G89" i="2" s="1"/>
  <c r="Q92" i="2"/>
  <c r="S92" i="2" s="1"/>
  <c r="G92" i="2" s="1"/>
  <c r="Q93" i="2"/>
  <c r="R93" i="2" s="1"/>
  <c r="F93" i="2" s="1"/>
  <c r="Q96" i="2"/>
  <c r="R96" i="2" s="1"/>
  <c r="F96" i="2" s="1"/>
  <c r="Q99" i="2"/>
  <c r="S99" i="2" s="1"/>
  <c r="G99" i="2" s="1"/>
  <c r="Q100" i="2"/>
  <c r="R100" i="2" s="1"/>
  <c r="F100" i="2" s="1"/>
  <c r="Q103" i="2"/>
  <c r="S103" i="2" s="1"/>
  <c r="G103" i="2" s="1"/>
  <c r="Q104" i="2"/>
  <c r="S104" i="2" s="1"/>
  <c r="G104" i="2" s="1"/>
  <c r="Q109" i="2"/>
  <c r="R109" i="2" s="1"/>
  <c r="F109" i="2" s="1"/>
  <c r="Q112" i="2"/>
  <c r="S112" i="2" s="1"/>
  <c r="G112" i="2" s="1"/>
  <c r="Q122" i="2"/>
  <c r="R122" i="2" s="1"/>
  <c r="F122" i="2" s="1"/>
  <c r="Q125" i="2"/>
  <c r="S125" i="2" s="1"/>
  <c r="G125" i="2" s="1"/>
  <c r="Q128" i="2"/>
  <c r="S128" i="2" s="1"/>
  <c r="G128" i="2" s="1"/>
  <c r="Q129" i="2"/>
  <c r="R129" i="2" s="1"/>
  <c r="F129" i="2" s="1"/>
  <c r="Q132" i="2"/>
  <c r="R132" i="2" s="1"/>
  <c r="F132" i="2" s="1"/>
  <c r="Q135" i="2"/>
  <c r="S135" i="2" s="1"/>
  <c r="G135" i="2" s="1"/>
  <c r="Q136" i="2"/>
  <c r="R136" i="2" s="1"/>
  <c r="F136" i="2" s="1"/>
  <c r="Q141" i="2"/>
  <c r="S141" i="2" s="1"/>
  <c r="G141" i="2" s="1"/>
  <c r="Q142" i="2"/>
  <c r="R142" i="2" s="1"/>
  <c r="F142" i="2" s="1"/>
  <c r="Q145" i="2"/>
  <c r="R145" i="2" s="1"/>
  <c r="F145" i="2" s="1"/>
  <c r="Q146" i="2"/>
  <c r="S146" i="2" s="1"/>
  <c r="G146" i="2" s="1"/>
  <c r="Q149" i="2"/>
  <c r="R149" i="2" s="1"/>
  <c r="F149" i="2" s="1"/>
  <c r="Q152" i="2"/>
  <c r="R152" i="2" s="1"/>
  <c r="F152" i="2" s="1"/>
  <c r="Q153" i="2"/>
  <c r="S153" i="2" s="1"/>
  <c r="G153" i="2" s="1"/>
  <c r="Q156" i="2"/>
  <c r="R156" i="2" s="1"/>
  <c r="F156" i="2" s="1"/>
  <c r="Q161" i="2"/>
  <c r="R161" i="2" s="1"/>
  <c r="F161" i="2" s="1"/>
  <c r="Q162" i="2"/>
  <c r="S162" i="2" s="1"/>
  <c r="G162" i="2" s="1"/>
  <c r="Q163" i="2"/>
  <c r="S163" i="2" s="1"/>
  <c r="G163" i="2" s="1"/>
  <c r="Q164" i="2"/>
  <c r="R164" i="2" s="1"/>
  <c r="F164" i="2" s="1"/>
  <c r="Q165" i="2"/>
  <c r="S165" i="2" s="1"/>
  <c r="G165" i="2" s="1"/>
  <c r="Q166" i="2"/>
  <c r="R166" i="2" s="1"/>
  <c r="F166" i="2" s="1"/>
  <c r="Q170" i="2"/>
  <c r="R170" i="2" s="1"/>
  <c r="F170" i="2" s="1"/>
  <c r="Q173" i="2"/>
  <c r="S173" i="2" s="1"/>
  <c r="G173" i="2" s="1"/>
  <c r="Q176" i="2"/>
  <c r="R176" i="2" s="1"/>
  <c r="F176" i="2" s="1"/>
  <c r="Q181" i="2"/>
  <c r="S181" i="2" s="1"/>
  <c r="G181" i="2" s="1"/>
  <c r="Q186" i="2"/>
  <c r="S186" i="2" s="1"/>
  <c r="G186" i="2" s="1"/>
  <c r="Q187" i="2"/>
  <c r="R187" i="2" s="1"/>
  <c r="F187" i="2" s="1"/>
  <c r="Q188" i="2"/>
  <c r="R188" i="2" s="1"/>
  <c r="F188" i="2" s="1"/>
  <c r="Q191" i="2"/>
  <c r="S191" i="2" s="1"/>
  <c r="G191" i="2" s="1"/>
  <c r="Q196" i="2"/>
  <c r="R196" i="2" s="1"/>
  <c r="F196" i="2" s="1"/>
  <c r="Q197" i="2"/>
  <c r="R197" i="2" s="1"/>
  <c r="F197" i="2" s="1"/>
  <c r="Q198" i="2"/>
  <c r="R198" i="2" s="1"/>
  <c r="F198" i="2" s="1"/>
  <c r="Q205" i="2"/>
  <c r="S205" i="2" s="1"/>
  <c r="G205" i="2" s="1"/>
  <c r="Q206" i="2"/>
  <c r="R206" i="2" s="1"/>
  <c r="F206" i="2" s="1"/>
  <c r="Q207" i="2"/>
  <c r="S207" i="2" s="1"/>
  <c r="G207" i="2" s="1"/>
  <c r="Q208" i="2"/>
  <c r="R208" i="2" s="1"/>
  <c r="F208" i="2" s="1"/>
  <c r="Q209" i="2"/>
  <c r="S209" i="2" s="1"/>
  <c r="G209" i="2" s="1"/>
  <c r="Q210" i="2"/>
  <c r="S210" i="2" s="1"/>
  <c r="G210" i="2" s="1"/>
  <c r="Q211" i="2"/>
  <c r="R211" i="2" s="1"/>
  <c r="F211" i="2" s="1"/>
  <c r="Q214" i="2"/>
  <c r="S214" i="2" s="1"/>
  <c r="G214" i="2" s="1"/>
  <c r="Q221" i="2"/>
  <c r="S221" i="2" s="1"/>
  <c r="G221" i="2" s="1"/>
  <c r="Q222" i="2"/>
  <c r="S222" i="2" s="1"/>
  <c r="G222" i="2" s="1"/>
  <c r="Q225" i="2"/>
  <c r="R225" i="2" s="1"/>
  <c r="F225" i="2" s="1"/>
  <c r="Q226" i="2"/>
  <c r="S226" i="2" s="1"/>
  <c r="G226" i="2" s="1"/>
  <c r="Q229" i="2"/>
  <c r="S229" i="2" s="1"/>
  <c r="G229" i="2" s="1"/>
  <c r="Q230" i="2"/>
  <c r="R230" i="2" s="1"/>
  <c r="F230" i="2" s="1"/>
  <c r="Q233" i="2"/>
  <c r="S233" i="2" s="1"/>
  <c r="G233" i="2" s="1"/>
  <c r="Q234" i="2"/>
  <c r="R234" i="2" s="1"/>
  <c r="F234" i="2" s="1"/>
  <c r="Q239" i="2"/>
  <c r="S239" i="2" s="1"/>
  <c r="G239" i="2" s="1"/>
  <c r="Q242" i="2"/>
  <c r="S242" i="2" s="1"/>
  <c r="G242" i="2" s="1"/>
  <c r="Q247" i="2"/>
  <c r="S247" i="2" s="1"/>
  <c r="G247" i="2" s="1"/>
  <c r="Q248" i="2"/>
  <c r="R248" i="2" s="1"/>
  <c r="F248" i="2" s="1"/>
  <c r="Q249" i="2"/>
  <c r="S249" i="2" s="1"/>
  <c r="G249" i="2" s="1"/>
  <c r="Q252" i="2"/>
  <c r="S252" i="2" s="1"/>
  <c r="G252" i="2" s="1"/>
  <c r="Q255" i="2"/>
  <c r="R255" i="2" s="1"/>
  <c r="F255" i="2" s="1"/>
  <c r="Q262" i="2"/>
  <c r="S262" i="2" s="1"/>
  <c r="G262" i="2" s="1"/>
  <c r="Q263" i="2"/>
  <c r="R263" i="2" s="1"/>
  <c r="F263" i="2" s="1"/>
  <c r="Q264" i="2"/>
  <c r="R264" i="2" s="1"/>
  <c r="F264" i="2" s="1"/>
  <c r="Q265" i="2"/>
  <c r="S265" i="2" s="1"/>
  <c r="G265" i="2" s="1"/>
  <c r="Q268" i="2"/>
  <c r="S268" i="2" s="1"/>
  <c r="G268" i="2" s="1"/>
  <c r="Q37" i="2"/>
  <c r="S37" i="2" s="1"/>
  <c r="S145" i="2"/>
  <c r="G145" i="2" s="1"/>
  <c r="P83" i="5"/>
  <c r="O83" i="5"/>
  <c r="P82" i="5"/>
  <c r="O82" i="5"/>
  <c r="P81" i="5"/>
  <c r="O81" i="5"/>
  <c r="P80" i="5"/>
  <c r="O80" i="5"/>
  <c r="P79" i="5"/>
  <c r="O79" i="5"/>
  <c r="P78" i="5"/>
  <c r="O78" i="5"/>
  <c r="O84" i="5" s="1"/>
  <c r="P77" i="5"/>
  <c r="O77" i="5"/>
  <c r="P76" i="5"/>
  <c r="O76" i="5"/>
  <c r="P75" i="5"/>
  <c r="P84" i="5" s="1"/>
  <c r="O75" i="5"/>
  <c r="L13" i="5"/>
  <c r="K13" i="5"/>
  <c r="L12" i="5"/>
  <c r="K12" i="5"/>
  <c r="L11" i="5"/>
  <c r="K11" i="5"/>
  <c r="L10" i="5"/>
  <c r="K10" i="5"/>
  <c r="L9" i="5"/>
  <c r="K9" i="5"/>
  <c r="L8" i="5"/>
  <c r="K8" i="5"/>
  <c r="K14" i="5" s="1"/>
  <c r="L7" i="5"/>
  <c r="K7" i="5"/>
  <c r="L6" i="5"/>
  <c r="K6" i="5"/>
  <c r="L5" i="5"/>
  <c r="L14" i="5" s="1"/>
  <c r="K5" i="5"/>
  <c r="I21" i="2" l="1"/>
  <c r="R75" i="2"/>
  <c r="F75" i="2" s="1"/>
  <c r="I20" i="2"/>
  <c r="S129" i="2"/>
  <c r="G129" i="2" s="1"/>
  <c r="S78" i="2"/>
  <c r="G78" i="2" s="1"/>
  <c r="R207" i="2"/>
  <c r="F207" i="2" s="1"/>
  <c r="R135" i="2"/>
  <c r="F135" i="2" s="1"/>
  <c r="R63" i="2"/>
  <c r="F63" i="2" s="1"/>
  <c r="R38" i="2"/>
  <c r="F38" i="2" s="1"/>
  <c r="R128" i="2"/>
  <c r="F128" i="2" s="1"/>
  <c r="R247" i="2"/>
  <c r="F247" i="2" s="1"/>
  <c r="S211" i="2"/>
  <c r="G211" i="2" s="1"/>
  <c r="S187" i="2"/>
  <c r="G187" i="2" s="1"/>
  <c r="S156" i="2"/>
  <c r="G156" i="2" s="1"/>
  <c r="S117" i="2"/>
  <c r="G117" i="2" s="1"/>
  <c r="R153" i="2"/>
  <c r="F153" i="2" s="1"/>
  <c r="R60" i="2"/>
  <c r="F60" i="2" s="1"/>
  <c r="R242" i="2"/>
  <c r="F242" i="2" s="1"/>
  <c r="S152" i="2"/>
  <c r="G152" i="2" s="1"/>
  <c r="S57" i="2"/>
  <c r="G57" i="2" s="1"/>
  <c r="R181" i="2"/>
  <c r="F181" i="2" s="1"/>
  <c r="S122" i="2"/>
  <c r="G122" i="2" s="1"/>
  <c r="S85" i="2"/>
  <c r="G85" i="2" s="1"/>
  <c r="R37" i="2"/>
  <c r="F37" i="2" s="1"/>
  <c r="S176" i="2"/>
  <c r="G176" i="2" s="1"/>
  <c r="R265" i="2"/>
  <c r="F265" i="2" s="1"/>
  <c r="R112" i="2"/>
  <c r="F112" i="2" s="1"/>
  <c r="R162" i="2"/>
  <c r="F162" i="2" s="1"/>
  <c r="S132" i="2"/>
  <c r="G132" i="2" s="1"/>
  <c r="S71" i="2"/>
  <c r="G71" i="2" s="1"/>
  <c r="S225" i="2"/>
  <c r="G225" i="2" s="1"/>
  <c r="R249" i="2"/>
  <c r="F249" i="2" s="1"/>
  <c r="S93" i="2"/>
  <c r="G93" i="2" s="1"/>
  <c r="R191" i="2"/>
  <c r="F191" i="2" s="1"/>
  <c r="R233" i="2"/>
  <c r="F233" i="2" s="1"/>
  <c r="R229" i="2"/>
  <c r="F229" i="2" s="1"/>
  <c r="R104" i="2"/>
  <c r="F104" i="2" s="1"/>
  <c r="R226" i="2"/>
  <c r="F226" i="2" s="1"/>
  <c r="R99" i="2"/>
  <c r="F99" i="2" s="1"/>
  <c r="S164" i="2"/>
  <c r="G164" i="2" s="1"/>
  <c r="R222" i="2"/>
  <c r="F222" i="2" s="1"/>
  <c r="S264" i="2"/>
  <c r="G264" i="2" s="1"/>
  <c r="S52" i="2"/>
  <c r="G52" i="2" s="1"/>
  <c r="S206" i="2"/>
  <c r="G206" i="2" s="1"/>
  <c r="R47" i="2"/>
  <c r="F47" i="2" s="1"/>
  <c r="R221" i="2"/>
  <c r="F221" i="2" s="1"/>
  <c r="R84" i="2"/>
  <c r="F84" i="2" s="1"/>
  <c r="S41" i="2"/>
  <c r="G41" i="2" s="1"/>
  <c r="R173" i="2"/>
  <c r="F173" i="2" s="1"/>
  <c r="R48" i="2"/>
  <c r="F48" i="2" s="1"/>
  <c r="F169" i="2"/>
  <c r="S170" i="2"/>
  <c r="S109" i="2"/>
  <c r="G109" i="2" s="1"/>
  <c r="R214" i="2"/>
  <c r="F214" i="2" s="1"/>
  <c r="R146" i="2"/>
  <c r="F146" i="2" s="1"/>
  <c r="R81" i="2"/>
  <c r="F81" i="2" s="1"/>
  <c r="S96" i="2"/>
  <c r="G96" i="2" s="1"/>
  <c r="R141" i="2"/>
  <c r="F141" i="2" s="1"/>
  <c r="S230" i="2"/>
  <c r="G230" i="2" s="1"/>
  <c r="G37" i="2"/>
  <c r="R205" i="2"/>
  <c r="F205" i="2" s="1"/>
  <c r="R92" i="2"/>
  <c r="F92" i="2" s="1"/>
  <c r="R51" i="2"/>
  <c r="F51" i="2" s="1"/>
  <c r="S142" i="2"/>
  <c r="G142" i="2" s="1"/>
  <c r="R46" i="2"/>
  <c r="F46" i="2" s="1"/>
  <c r="S56" i="2"/>
  <c r="G56" i="2" s="1"/>
  <c r="S166" i="2"/>
  <c r="G166" i="2" s="1"/>
  <c r="R268" i="2"/>
  <c r="F268" i="2" s="1"/>
  <c r="R165" i="2"/>
  <c r="F165" i="2" s="1"/>
  <c r="R262" i="2"/>
  <c r="F262" i="2" s="1"/>
  <c r="R163" i="2"/>
  <c r="F163" i="2" s="1"/>
  <c r="R66" i="2"/>
  <c r="F66" i="2" s="1"/>
  <c r="S208" i="2"/>
  <c r="G208" i="2" s="1"/>
  <c r="R252" i="2"/>
  <c r="F252" i="2" s="1"/>
  <c r="R103" i="2"/>
  <c r="F103" i="2" s="1"/>
  <c r="S263" i="2"/>
  <c r="G263" i="2" s="1"/>
  <c r="R72" i="2"/>
  <c r="F72" i="2" s="1"/>
  <c r="S161" i="2"/>
  <c r="G161" i="2" s="1"/>
  <c r="S196" i="2"/>
  <c r="G196" i="2" s="1"/>
  <c r="S248" i="2"/>
  <c r="G248" i="2" s="1"/>
  <c r="S188" i="2"/>
  <c r="G188" i="2" s="1"/>
  <c r="R210" i="2"/>
  <c r="F210" i="2" s="1"/>
  <c r="R186" i="2"/>
  <c r="F186" i="2" s="1"/>
  <c r="R125" i="2"/>
  <c r="F125" i="2" s="1"/>
  <c r="R89" i="2"/>
  <c r="F89" i="2" s="1"/>
  <c r="S234" i="2"/>
  <c r="G234" i="2" s="1"/>
  <c r="S149" i="2"/>
  <c r="G149" i="2" s="1"/>
  <c r="R239" i="2"/>
  <c r="F239" i="2" s="1"/>
  <c r="R209" i="2"/>
  <c r="F209" i="2" s="1"/>
  <c r="R88" i="2"/>
  <c r="F88" i="2" s="1"/>
  <c r="R53" i="2"/>
  <c r="F53" i="2" s="1"/>
  <c r="S198" i="2"/>
  <c r="G198" i="2" s="1"/>
  <c r="S77" i="2"/>
  <c r="G77" i="2" s="1"/>
  <c r="S255" i="2"/>
  <c r="G255" i="2" s="1"/>
  <c r="S197" i="2"/>
  <c r="G197" i="2" s="1"/>
  <c r="S136" i="2"/>
  <c r="G136" i="2" s="1"/>
  <c r="S100" i="2"/>
  <c r="G100" i="2" s="1"/>
  <c r="S76" i="2"/>
  <c r="G76" i="2" s="1"/>
  <c r="I22" i="2" l="1"/>
  <c r="I32" i="2" s="1"/>
  <c r="I33" i="2" s="1"/>
  <c r="O14" i="4" s="1"/>
  <c r="G170" i="2"/>
  <c r="G169" i="2"/>
  <c r="I169" i="2" s="1"/>
  <c r="I52" i="5"/>
  <c r="P14" i="4" l="1"/>
  <c r="K84" i="5"/>
  <c r="L84" i="5"/>
  <c r="L76" i="5"/>
  <c r="L77" i="5"/>
  <c r="L78" i="5"/>
  <c r="L79" i="5"/>
  <c r="L80" i="5"/>
  <c r="L81" i="5"/>
  <c r="L82" i="5"/>
  <c r="L83" i="5"/>
  <c r="L75" i="5"/>
  <c r="M84" i="5"/>
  <c r="J76" i="5"/>
  <c r="J77" i="5"/>
  <c r="J78" i="5"/>
  <c r="J79" i="5"/>
  <c r="J80" i="5"/>
  <c r="J81" i="5"/>
  <c r="J82" i="5"/>
  <c r="J83" i="5"/>
  <c r="J75" i="5"/>
  <c r="I76" i="5"/>
  <c r="I77" i="5"/>
  <c r="I78" i="5"/>
  <c r="I79" i="5"/>
  <c r="I80" i="5"/>
  <c r="I81" i="5"/>
  <c r="I82" i="5"/>
  <c r="I83" i="5"/>
  <c r="I75" i="5"/>
  <c r="E6" i="5"/>
  <c r="E7" i="5"/>
  <c r="E8" i="5"/>
  <c r="E9" i="5"/>
  <c r="E10" i="5"/>
  <c r="E11" i="5"/>
  <c r="E12" i="5"/>
  <c r="E13" i="5"/>
  <c r="E5" i="5"/>
  <c r="C7" i="5"/>
  <c r="C6" i="5"/>
  <c r="C5" i="5"/>
  <c r="E59" i="5"/>
  <c r="D13" i="5"/>
  <c r="I13" i="5" s="1"/>
  <c r="D12" i="5"/>
  <c r="I12" i="5" s="1"/>
  <c r="D11" i="5"/>
  <c r="I11" i="5" s="1"/>
  <c r="D10" i="5"/>
  <c r="I10" i="5" s="1"/>
  <c r="D9" i="5"/>
  <c r="I9" i="5" s="1"/>
  <c r="D8" i="5"/>
  <c r="I8" i="5" s="1"/>
  <c r="D7" i="5"/>
  <c r="I7" i="5" s="1"/>
  <c r="D6" i="5"/>
  <c r="I6" i="5" s="1"/>
  <c r="D5" i="5"/>
  <c r="I5" i="5" s="1"/>
  <c r="G14" i="5"/>
  <c r="F14" i="5"/>
  <c r="E52" i="5" s="1"/>
  <c r="C13" i="5"/>
  <c r="B34" i="5" s="1"/>
  <c r="C12" i="5"/>
  <c r="C11" i="5"/>
  <c r="C10" i="5"/>
  <c r="C9" i="5"/>
  <c r="C8" i="5"/>
  <c r="L269" i="2"/>
  <c r="L266" i="2"/>
  <c r="L256" i="2"/>
  <c r="L253" i="2"/>
  <c r="I252" i="2"/>
  <c r="I255" i="2"/>
  <c r="I262" i="2"/>
  <c r="I263" i="2"/>
  <c r="I264" i="2"/>
  <c r="I265" i="2"/>
  <c r="L250" i="2"/>
  <c r="L243" i="2"/>
  <c r="L240" i="2"/>
  <c r="I242" i="2"/>
  <c r="I247" i="2"/>
  <c r="I248" i="2"/>
  <c r="I249" i="2"/>
  <c r="L235" i="2"/>
  <c r="L231" i="2"/>
  <c r="L227" i="2"/>
  <c r="I229" i="2"/>
  <c r="I230" i="2"/>
  <c r="I233" i="2"/>
  <c r="I234" i="2"/>
  <c r="I239" i="2"/>
  <c r="I240" i="2" s="1"/>
  <c r="I268" i="2"/>
  <c r="I269" i="2" s="1"/>
  <c r="L223" i="2"/>
  <c r="L215" i="2"/>
  <c r="L212" i="2"/>
  <c r="I211" i="2"/>
  <c r="I214" i="2"/>
  <c r="I215" i="2" s="1"/>
  <c r="I221" i="2"/>
  <c r="I222" i="2"/>
  <c r="I225" i="2"/>
  <c r="I226" i="2"/>
  <c r="L199" i="2"/>
  <c r="L200" i="2" s="1"/>
  <c r="I197" i="2"/>
  <c r="I198" i="2"/>
  <c r="I205" i="2"/>
  <c r="I206" i="2"/>
  <c r="I207" i="2"/>
  <c r="I208" i="2"/>
  <c r="I209" i="2"/>
  <c r="I210" i="2"/>
  <c r="L192" i="2"/>
  <c r="L189" i="2"/>
  <c r="L182" i="2"/>
  <c r="L183" i="2" s="1"/>
  <c r="L177" i="2"/>
  <c r="L174" i="2"/>
  <c r="L171" i="2"/>
  <c r="L167" i="2"/>
  <c r="I173" i="2"/>
  <c r="I174" i="2" s="1"/>
  <c r="I176" i="2"/>
  <c r="I181" i="2"/>
  <c r="I182" i="2" s="1"/>
  <c r="I186" i="2"/>
  <c r="I187" i="2"/>
  <c r="I188" i="2"/>
  <c r="I191" i="2"/>
  <c r="I196" i="2"/>
  <c r="L157" i="2"/>
  <c r="L154" i="2"/>
  <c r="L150" i="2"/>
  <c r="L147" i="2"/>
  <c r="L143" i="2"/>
  <c r="I149" i="2"/>
  <c r="I150" i="2" s="1"/>
  <c r="I152" i="2"/>
  <c r="I153" i="2"/>
  <c r="I156" i="2"/>
  <c r="I157" i="2" s="1"/>
  <c r="I161" i="2"/>
  <c r="I162" i="2"/>
  <c r="I163" i="2"/>
  <c r="I164" i="2"/>
  <c r="I165" i="2"/>
  <c r="I166" i="2"/>
  <c r="I170" i="2"/>
  <c r="I171" i="2" s="1"/>
  <c r="L137" i="2"/>
  <c r="L133" i="2"/>
  <c r="L130" i="2"/>
  <c r="L126" i="2"/>
  <c r="L123" i="2"/>
  <c r="I125" i="2"/>
  <c r="I126" i="2" s="1"/>
  <c r="I128" i="2"/>
  <c r="I129" i="2"/>
  <c r="I132" i="2"/>
  <c r="I135" i="2"/>
  <c r="I136" i="2"/>
  <c r="I141" i="2"/>
  <c r="I142" i="2"/>
  <c r="I145" i="2"/>
  <c r="I146" i="2"/>
  <c r="L119" i="2"/>
  <c r="L118" i="2"/>
  <c r="L113" i="2"/>
  <c r="I122" i="2"/>
  <c r="I123" i="2" s="1"/>
  <c r="L110" i="2"/>
  <c r="L105" i="2"/>
  <c r="L101" i="2"/>
  <c r="L97" i="2"/>
  <c r="I103" i="2"/>
  <c r="I104" i="2"/>
  <c r="I109" i="2"/>
  <c r="I110" i="2" s="1"/>
  <c r="I112" i="2"/>
  <c r="I113" i="2" s="1"/>
  <c r="I117" i="2"/>
  <c r="I118" i="2" s="1"/>
  <c r="L94" i="2"/>
  <c r="L90" i="2"/>
  <c r="L86" i="2"/>
  <c r="L82" i="2"/>
  <c r="L79" i="2"/>
  <c r="I81" i="2"/>
  <c r="I82" i="2" s="1"/>
  <c r="I84" i="2"/>
  <c r="I85" i="2"/>
  <c r="I88" i="2"/>
  <c r="I89" i="2"/>
  <c r="I92" i="2"/>
  <c r="I93" i="2"/>
  <c r="I96" i="2"/>
  <c r="I97" i="2" s="1"/>
  <c r="I99" i="2"/>
  <c r="I100" i="2"/>
  <c r="I77" i="2"/>
  <c r="I78" i="2"/>
  <c r="L73" i="2"/>
  <c r="L67" i="2"/>
  <c r="L64" i="2"/>
  <c r="L61" i="2"/>
  <c r="L54" i="2"/>
  <c r="I63" i="2"/>
  <c r="I64" i="2" s="1"/>
  <c r="I66" i="2"/>
  <c r="I67" i="2" s="1"/>
  <c r="I71" i="2"/>
  <c r="I72" i="2"/>
  <c r="I75" i="2"/>
  <c r="I76" i="2"/>
  <c r="I60" i="2"/>
  <c r="I61" i="2" s="1"/>
  <c r="L58" i="2"/>
  <c r="I57" i="2"/>
  <c r="I56" i="2"/>
  <c r="I52" i="2"/>
  <c r="I53" i="2"/>
  <c r="L257" i="2" l="1"/>
  <c r="L244" i="2"/>
  <c r="L270" i="2"/>
  <c r="L271" i="2" s="1"/>
  <c r="Q272" i="2"/>
  <c r="I14" i="5"/>
  <c r="I266" i="2"/>
  <c r="I253" i="2"/>
  <c r="I256" i="2"/>
  <c r="I243" i="2"/>
  <c r="I244" i="2" s="1"/>
  <c r="I231" i="2"/>
  <c r="I250" i="2"/>
  <c r="I227" i="2"/>
  <c r="L236" i="2"/>
  <c r="I235" i="2"/>
  <c r="L216" i="2"/>
  <c r="L217" i="2" s="1"/>
  <c r="I212" i="2"/>
  <c r="I216" i="2" s="1"/>
  <c r="I223" i="2"/>
  <c r="I199" i="2"/>
  <c r="I200" i="2" s="1"/>
  <c r="L193" i="2"/>
  <c r="L178" i="2"/>
  <c r="I189" i="2"/>
  <c r="I167" i="2"/>
  <c r="I147" i="2"/>
  <c r="I183" i="2"/>
  <c r="I192" i="2"/>
  <c r="I177" i="2"/>
  <c r="I154" i="2"/>
  <c r="I143" i="2"/>
  <c r="L158" i="2"/>
  <c r="I130" i="2"/>
  <c r="L138" i="2"/>
  <c r="I133" i="2"/>
  <c r="I137" i="2"/>
  <c r="L114" i="2"/>
  <c r="I114" i="2"/>
  <c r="I119" i="2"/>
  <c r="I101" i="2"/>
  <c r="L106" i="2"/>
  <c r="I105" i="2"/>
  <c r="I79" i="2"/>
  <c r="I86" i="2"/>
  <c r="I90" i="2"/>
  <c r="I58" i="2"/>
  <c r="I94" i="2"/>
  <c r="I73" i="2"/>
  <c r="L49" i="2"/>
  <c r="L68" i="2" s="1"/>
  <c r="I46" i="2"/>
  <c r="I47" i="2"/>
  <c r="I48" i="2"/>
  <c r="I51" i="2"/>
  <c r="I54" i="2" s="1"/>
  <c r="L42" i="2"/>
  <c r="L258" i="2" l="1"/>
  <c r="E14" i="5"/>
  <c r="I270" i="2"/>
  <c r="I271" i="2" s="1"/>
  <c r="O18" i="4" s="1"/>
  <c r="I257" i="2"/>
  <c r="I236" i="2"/>
  <c r="I217" i="2"/>
  <c r="O16" i="4" s="1"/>
  <c r="I158" i="2"/>
  <c r="I193" i="2"/>
  <c r="I178" i="2"/>
  <c r="I138" i="2"/>
  <c r="I106" i="2"/>
  <c r="I49" i="2"/>
  <c r="I68" i="2" s="1"/>
  <c r="I41" i="2"/>
  <c r="I37" i="2"/>
  <c r="I258" i="2" l="1"/>
  <c r="O17" i="4" s="1"/>
  <c r="J169" i="2"/>
  <c r="I42" i="2"/>
  <c r="I38" i="2" l="1"/>
  <c r="I39" i="2" s="1"/>
  <c r="L39" i="2"/>
  <c r="L43" i="2" s="1"/>
  <c r="L201" i="2" s="1"/>
  <c r="L272" i="2" s="1"/>
  <c r="I43" i="2" l="1"/>
  <c r="I201" i="2" l="1"/>
  <c r="O15" i="4" s="1"/>
  <c r="N19" i="4" l="1"/>
  <c r="M19" i="4"/>
  <c r="F19" i="4"/>
  <c r="L19" i="4"/>
  <c r="K19" i="4"/>
  <c r="J19" i="4"/>
  <c r="E19" i="4"/>
  <c r="I19" i="4"/>
  <c r="H19" i="4"/>
  <c r="G19" i="4"/>
  <c r="P15" i="4"/>
  <c r="P16" i="4" s="1"/>
  <c r="P17" i="4" s="1"/>
  <c r="P18" i="4" s="1"/>
  <c r="I272" i="2"/>
  <c r="J17" i="2" s="1"/>
  <c r="M20" i="4" l="1"/>
  <c r="L20" i="4"/>
  <c r="H20" i="4"/>
  <c r="G20" i="4"/>
  <c r="E20" i="4"/>
  <c r="F20" i="4"/>
  <c r="J20" i="4"/>
  <c r="J18" i="2"/>
  <c r="J16" i="2"/>
  <c r="J30" i="2"/>
  <c r="J27" i="2"/>
  <c r="J24" i="2"/>
  <c r="J20" i="2"/>
  <c r="J21" i="2"/>
  <c r="J32" i="2"/>
  <c r="J33" i="2"/>
  <c r="J201" i="2"/>
  <c r="J22" i="2"/>
  <c r="J25" i="2"/>
  <c r="J28" i="2"/>
  <c r="J31" i="2"/>
  <c r="J158" i="2"/>
  <c r="J205" i="2"/>
  <c r="J206" i="2"/>
  <c r="J90" i="2"/>
  <c r="J189" i="2"/>
  <c r="J123" i="2"/>
  <c r="J49" i="2"/>
  <c r="J200" i="2"/>
  <c r="J269" i="2"/>
  <c r="J78" i="2"/>
  <c r="J257" i="2"/>
  <c r="J235" i="2"/>
  <c r="J234" i="2"/>
  <c r="J174" i="2"/>
  <c r="J165" i="2"/>
  <c r="J214" i="2"/>
  <c r="J128" i="2"/>
  <c r="J117" i="2"/>
  <c r="J177" i="2"/>
  <c r="J71" i="2"/>
  <c r="J56" i="2"/>
  <c r="J268" i="2"/>
  <c r="J142" i="2"/>
  <c r="J68" i="2"/>
  <c r="J86" i="2"/>
  <c r="J192" i="2"/>
  <c r="J81" i="2"/>
  <c r="J221" i="2"/>
  <c r="J262" i="2"/>
  <c r="J222" i="2"/>
  <c r="J211" i="2"/>
  <c r="J57" i="2"/>
  <c r="J106" i="2"/>
  <c r="J196" i="2"/>
  <c r="J110" i="2"/>
  <c r="J138" i="2"/>
  <c r="J183" i="2"/>
  <c r="J157" i="2"/>
  <c r="J84" i="2"/>
  <c r="J163" i="2"/>
  <c r="J76" i="2"/>
  <c r="J167" i="2"/>
  <c r="J173" i="2"/>
  <c r="J104" i="2"/>
  <c r="J212" i="2"/>
  <c r="J249" i="2"/>
  <c r="J256" i="2"/>
  <c r="J264" i="2"/>
  <c r="J243" i="2"/>
  <c r="J187" i="2"/>
  <c r="J176" i="2"/>
  <c r="J171" i="2"/>
  <c r="J136" i="2"/>
  <c r="J63" i="2"/>
  <c r="J164" i="2"/>
  <c r="J270" i="2"/>
  <c r="J125" i="2"/>
  <c r="J181" i="2"/>
  <c r="J92" i="2"/>
  <c r="J42" i="2"/>
  <c r="J209" i="2"/>
  <c r="J133" i="2"/>
  <c r="J252" i="2"/>
  <c r="J258" i="2"/>
  <c r="J240" i="2"/>
  <c r="J215" i="2"/>
  <c r="J271" i="2"/>
  <c r="J146" i="2"/>
  <c r="J96" i="2"/>
  <c r="J94" i="2"/>
  <c r="J100" i="2"/>
  <c r="J51" i="2"/>
  <c r="J210" i="2"/>
  <c r="J105" i="2"/>
  <c r="J113" i="2"/>
  <c r="J109" i="2"/>
  <c r="J135" i="2"/>
  <c r="J233" i="2"/>
  <c r="J250" i="2"/>
  <c r="J265" i="2"/>
  <c r="J236" i="2"/>
  <c r="J227" i="2"/>
  <c r="J199" i="2"/>
  <c r="J41" i="2"/>
  <c r="J77" i="2"/>
  <c r="J126" i="2"/>
  <c r="J154" i="2"/>
  <c r="J143" i="2"/>
  <c r="J99" i="2"/>
  <c r="J53" i="2"/>
  <c r="J46" i="2"/>
  <c r="J37" i="2"/>
  <c r="J122" i="2"/>
  <c r="J64" i="2"/>
  <c r="J145" i="2"/>
  <c r="J156" i="2"/>
  <c r="J230" i="2"/>
  <c r="J253" i="2"/>
  <c r="J75" i="2"/>
  <c r="J170" i="2"/>
  <c r="J89" i="2"/>
  <c r="J150" i="2"/>
  <c r="J85" i="2"/>
  <c r="J112" i="2"/>
  <c r="J153" i="2"/>
  <c r="J129" i="2"/>
  <c r="J73" i="2"/>
  <c r="J47" i="2"/>
  <c r="J193" i="2"/>
  <c r="J255" i="2"/>
  <c r="J226" i="2"/>
  <c r="J242" i="2"/>
  <c r="J188" i="2"/>
  <c r="J141" i="2"/>
  <c r="J66" i="2"/>
  <c r="J216" i="2"/>
  <c r="J130" i="2"/>
  <c r="J263" i="2"/>
  <c r="J97" i="2"/>
  <c r="J186" i="2"/>
  <c r="J114" i="2"/>
  <c r="J166" i="2"/>
  <c r="J101" i="2"/>
  <c r="J61" i="2"/>
  <c r="J93" i="2"/>
  <c r="J152" i="2"/>
  <c r="J60" i="2"/>
  <c r="J225" i="2"/>
  <c r="J162" i="2"/>
  <c r="J197" i="2"/>
  <c r="J147" i="2"/>
  <c r="J182" i="2"/>
  <c r="J119" i="2"/>
  <c r="J52" i="2"/>
  <c r="J132" i="2"/>
  <c r="J178" i="2"/>
  <c r="J88" i="2"/>
  <c r="J72" i="2"/>
  <c r="J207" i="2"/>
  <c r="J231" i="2"/>
  <c r="J217" i="2"/>
  <c r="J223" i="2"/>
  <c r="J58" i="2"/>
  <c r="J229" i="2"/>
  <c r="J54" i="2"/>
  <c r="J198" i="2"/>
  <c r="J67" i="2"/>
  <c r="J161" i="2"/>
  <c r="J137" i="2"/>
  <c r="J149" i="2"/>
  <c r="J79" i="2"/>
  <c r="J48" i="2"/>
  <c r="J208" i="2"/>
  <c r="J118" i="2"/>
  <c r="J40" i="2"/>
  <c r="J266" i="2"/>
  <c r="J239" i="2"/>
  <c r="J247" i="2"/>
  <c r="J248" i="2"/>
  <c r="J103" i="2"/>
  <c r="J82" i="2"/>
  <c r="J191" i="2"/>
  <c r="J244" i="2"/>
  <c r="J39" i="2"/>
  <c r="J38" i="2"/>
  <c r="J43" i="2"/>
  <c r="I20" i="4" l="1"/>
  <c r="K20" i="4"/>
  <c r="E21" i="4"/>
  <c r="E22" i="4" s="1"/>
  <c r="N20" i="4"/>
  <c r="O19" i="4"/>
  <c r="P19" i="4" s="1"/>
  <c r="J272" i="2"/>
  <c r="O20" i="4" l="1"/>
  <c r="P20" i="4" s="1"/>
  <c r="F21" i="4"/>
  <c r="G21" i="4" s="1"/>
  <c r="F22" i="4" l="1"/>
  <c r="G22" i="4"/>
  <c r="H21" i="4"/>
  <c r="H22" i="4" l="1"/>
  <c r="I21" i="4"/>
  <c r="I22" i="4" l="1"/>
  <c r="J21" i="4"/>
  <c r="J22" i="4" l="1"/>
  <c r="K21" i="4"/>
  <c r="K22" i="4" l="1"/>
  <c r="L21" i="4"/>
  <c r="L22" i="4" l="1"/>
  <c r="M21" i="4"/>
  <c r="M22" i="4" l="1"/>
  <c r="N21" i="4"/>
  <c r="N22" i="4" l="1"/>
  <c r="O22" i="4" s="1"/>
  <c r="P22" i="4" s="1"/>
  <c r="O21" i="4"/>
  <c r="P21" i="4" s="1"/>
</calcChain>
</file>

<file path=xl/sharedStrings.xml><?xml version="1.0" encoding="utf-8"?>
<sst xmlns="http://schemas.openxmlformats.org/spreadsheetml/2006/main" count="877" uniqueCount="554">
  <si>
    <t>QUANT.</t>
  </si>
  <si>
    <t>UNIT. (R$)</t>
  </si>
  <si>
    <t>PLANILHA DE SERVIÇOS</t>
  </si>
  <si>
    <t>TOTAL GLOBAL:</t>
  </si>
  <si>
    <t xml:space="preserve">PREFEITURA MUNICIPAL DE CHOPINZINHO          </t>
  </si>
  <si>
    <t>______________________________</t>
  </si>
  <si>
    <t>%</t>
  </si>
  <si>
    <t>Rua Miguel P. Kurpel, 3811 -(46) 3242 8600</t>
  </si>
  <si>
    <t>ud</t>
  </si>
  <si>
    <t>DIVISÃO DE PLANEJAMENTO E PROJETOS</t>
  </si>
  <si>
    <t>Prefeito Municipal</t>
  </si>
  <si>
    <t>Christiano Dossa Silvestri</t>
  </si>
  <si>
    <t>Eng. Civil CREA-Pr 100984/D</t>
  </si>
  <si>
    <t>Divisão de Planejamento e Projetos</t>
  </si>
  <si>
    <t>DESCRIÇÃO DOS SERVIÇOS</t>
  </si>
  <si>
    <t>TOTAL (R$)</t>
  </si>
  <si>
    <t>Código</t>
  </si>
  <si>
    <t>UD</t>
  </si>
  <si>
    <t>Mão de Obra</t>
  </si>
  <si>
    <t>Materiais</t>
  </si>
  <si>
    <t>BDI (%)</t>
  </si>
  <si>
    <t>m²</t>
  </si>
  <si>
    <t>001</t>
  </si>
  <si>
    <t>002</t>
  </si>
  <si>
    <t>003</t>
  </si>
  <si>
    <t>005</t>
  </si>
  <si>
    <t>SERVIÇOS TÉCNICOS</t>
  </si>
  <si>
    <t>007</t>
  </si>
  <si>
    <t>CADASTRO DE OBRAS</t>
  </si>
  <si>
    <t>002.007.002</t>
  </si>
  <si>
    <t>Cadastro linear de esgoto - CAD</t>
  </si>
  <si>
    <t>m</t>
  </si>
  <si>
    <t>SERVIÇOS PRELIMINARES</t>
  </si>
  <si>
    <t>PESQUISA E REMANEJAMENTO DE INTERFERÊNCIAS</t>
  </si>
  <si>
    <t>003.001.001</t>
  </si>
  <si>
    <t>Pesquisa</t>
  </si>
  <si>
    <t>m³</t>
  </si>
  <si>
    <t>003.005.001</t>
  </si>
  <si>
    <t>SINALIZAÇÃO DE SEGURANÇA</t>
  </si>
  <si>
    <t>003.005.004</t>
  </si>
  <si>
    <t>Tapume em tela plástica</t>
  </si>
  <si>
    <t>006</t>
  </si>
  <si>
    <t>SINALIZAÇÃO DE TRÂNSITO</t>
  </si>
  <si>
    <t>003.006.001</t>
  </si>
  <si>
    <t>Placa de advertência 1,00 x 1,00 m</t>
  </si>
  <si>
    <t>009</t>
  </si>
  <si>
    <t>TRANSPORTE DE ENTULHO</t>
  </si>
  <si>
    <t>004</t>
  </si>
  <si>
    <t>MOVIMENTO DE SOLOS</t>
  </si>
  <si>
    <t>ESCAVAÇÃO MANUAL DE VALAS</t>
  </si>
  <si>
    <t>004.001.009</t>
  </si>
  <si>
    <t>ESCAVAÇÃO MECÂNICA DE VALAS EM QUALQUER TIPO DE SOLO, EXCETO ROCHA</t>
  </si>
  <si>
    <t>004.002.001</t>
  </si>
  <si>
    <t>004.002.002</t>
  </si>
  <si>
    <t>013</t>
  </si>
  <si>
    <t>004.013.001</t>
  </si>
  <si>
    <t>004.013.002</t>
  </si>
  <si>
    <t>Manual</t>
  </si>
  <si>
    <t>Mecânico</t>
  </si>
  <si>
    <t>014</t>
  </si>
  <si>
    <t>COMPACTAÇÃO EM VALAS</t>
  </si>
  <si>
    <t>004.014.001</t>
  </si>
  <si>
    <t>004.014.002</t>
  </si>
  <si>
    <t>018</t>
  </si>
  <si>
    <t>CARGA E DESCARGA DE SOLOS</t>
  </si>
  <si>
    <t>004.018.001</t>
  </si>
  <si>
    <t>Qualquer tipo de solo exceto rocha</t>
  </si>
  <si>
    <t>019</t>
  </si>
  <si>
    <t>TRANSPORTE DE SOLOS</t>
  </si>
  <si>
    <t>004.019.001</t>
  </si>
  <si>
    <t>Qualquer tipo de solo, exceto rocha, em rodovia ou rua</t>
  </si>
  <si>
    <t>m³xkm</t>
  </si>
  <si>
    <t>ESCORAMENTO</t>
  </si>
  <si>
    <t>005.001.001</t>
  </si>
  <si>
    <t>ASSENTAMENTOS</t>
  </si>
  <si>
    <t>TUBULAÇÃO DE PVC JE / JEI PARA ESGOTO</t>
  </si>
  <si>
    <t>009.002.002</t>
  </si>
  <si>
    <t>DN 150</t>
  </si>
  <si>
    <t>TERMINAL DE LIMPEZA (TL)</t>
  </si>
  <si>
    <t>009.013.002</t>
  </si>
  <si>
    <t>PVC JE DN 150</t>
  </si>
  <si>
    <t>017</t>
  </si>
  <si>
    <t>POÇO DE VISITA TIPO C - DN 800</t>
  </si>
  <si>
    <t>009.017.001</t>
  </si>
  <si>
    <t>009.017.002</t>
  </si>
  <si>
    <t>010</t>
  </si>
  <si>
    <t>PAVIMENTAÇÃO</t>
  </si>
  <si>
    <t>RETIRADA DE PAVIMENTOS, GUIAS E SARJETAS</t>
  </si>
  <si>
    <t>010.001.014</t>
  </si>
  <si>
    <t>010.001.016</t>
  </si>
  <si>
    <t>010.001.019</t>
  </si>
  <si>
    <t>010.001.023</t>
  </si>
  <si>
    <t>Piso de concreto desempenado</t>
  </si>
  <si>
    <t>Asfalto</t>
  </si>
  <si>
    <t>Guia de concreto pré-moldada</t>
  </si>
  <si>
    <t>Corte de pavimento com disco</t>
  </si>
  <si>
    <t>RECOMPOSIÇÃO DE PAVIMENTOS, GUIAS E SARJETAS COM REAPROVEITAMENTO TOTAL DO MATERIAL</t>
  </si>
  <si>
    <t>RECOMPOSIÇÃO DE PAVIMENTOS, GUIAS E SARJETAS COM REAPROVEITAMENTO PARCIAL DO MATERIAL</t>
  </si>
  <si>
    <t>010.004.012</t>
  </si>
  <si>
    <t>010.005.001</t>
  </si>
  <si>
    <t>016</t>
  </si>
  <si>
    <t>SERVIÇOS DIVERSOS</t>
  </si>
  <si>
    <t>020</t>
  </si>
  <si>
    <t>LIMPEZA DE OBRA</t>
  </si>
  <si>
    <t>Obra linear - raspagem e varrição</t>
  </si>
  <si>
    <t>Obra linear - lavagem</t>
  </si>
  <si>
    <t>Lavagem de rede de esgoto</t>
  </si>
  <si>
    <t>999</t>
  </si>
  <si>
    <t>MATERIAL NÃO TABELADO</t>
  </si>
  <si>
    <t>un</t>
  </si>
  <si>
    <t>100</t>
  </si>
  <si>
    <t>999.100.001</t>
  </si>
  <si>
    <t>DN 100</t>
  </si>
  <si>
    <t>009.002.001</t>
  </si>
  <si>
    <t>012</t>
  </si>
  <si>
    <t>TUBO DE INSPEÇÃO E LIMPEZA (TIL) PARA LIGAÇÃO PREDIAL</t>
  </si>
  <si>
    <t>009.012.001</t>
  </si>
  <si>
    <t>PVC JE DN 100 x 100</t>
  </si>
  <si>
    <t>TOTAL DA UNIDADE</t>
  </si>
  <si>
    <r>
      <t xml:space="preserve">    BDI: </t>
    </r>
    <r>
      <rPr>
        <b/>
        <sz val="10"/>
        <rFont val="Arial"/>
        <family val="2"/>
      </rPr>
      <t>25,11%</t>
    </r>
  </si>
  <si>
    <t>Rua Miguel P. Kurpel, 3811 - fone - (46) 3242 8600</t>
  </si>
  <si>
    <t>CRONOGRAMA FÍSICO-FINANCEIRO</t>
  </si>
  <si>
    <t>ITEM</t>
  </si>
  <si>
    <t>SERVIÇOS</t>
  </si>
  <si>
    <t>R$</t>
  </si>
  <si>
    <t>TOTAL ACUMULADO</t>
  </si>
  <si>
    <t>Eng. Civil CREA-PR 100984/D</t>
  </si>
  <si>
    <t>MUNICÍPIO DE CHOPINZINHO</t>
  </si>
  <si>
    <t>OBRA:</t>
  </si>
  <si>
    <t>LOCAL:</t>
  </si>
  <si>
    <t>EXTENSÃO:</t>
  </si>
  <si>
    <t>PRAZO DE EXECUÇÃO</t>
  </si>
  <si>
    <t>TOTAL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</si>
  <si>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</si>
  <si>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</si>
  <si>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</si>
  <si>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</si>
  <si>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</si>
  <si>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</si>
  <si>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</si>
  <si>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</si>
  <si>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SERVIÇO</t>
  </si>
  <si>
    <t>ACUMULADO</t>
  </si>
  <si>
    <t>TOTAL DA PARCELA</t>
  </si>
  <si>
    <t>_________________________________</t>
  </si>
  <si>
    <t>MÊS 09</t>
  </si>
  <si>
    <t>MÊS 10</t>
  </si>
  <si>
    <t>AMPLIAÇÃO DE REDE DE ESGOTO</t>
  </si>
  <si>
    <t>BASE:</t>
  </si>
  <si>
    <t>SANEPAR</t>
  </si>
  <si>
    <t>REDE COLETORA DE ESGOTOS - SERVIÇOS</t>
  </si>
  <si>
    <t>TOPOGRAFIA E GEODÉSIA - SERVIÇOS</t>
  </si>
  <si>
    <t>002.001.041</t>
  </si>
  <si>
    <t>Acompanhamento de assentamento de tubulação de esgoto - DN &lt; 400mm</t>
  </si>
  <si>
    <t>002.001.045</t>
  </si>
  <si>
    <t>Reconstituição topográfica de OSE (materialização de piquetes)</t>
  </si>
  <si>
    <t>TOTAL do Bloco TOPOGRAFIA E GEODÉSIA - SERVIÇOS</t>
  </si>
  <si>
    <t>TOTAL do Bloco CADASTRO DE OBRAS</t>
  </si>
  <si>
    <t>TOTAL do Módulo SERVIÇOS TÉCNICOS</t>
  </si>
  <si>
    <t>003.001.006</t>
  </si>
  <si>
    <t>003.001.007</t>
  </si>
  <si>
    <t>Remanejamento de galerias DN 600</t>
  </si>
  <si>
    <t>Remanejamento de galerias DN 800</t>
  </si>
  <si>
    <t>TOTAL do Bloco PESQUISA E REMANEJAMENTO DE INTERFERÊNCIAS</t>
  </si>
  <si>
    <t>PREPARO DO TERRENO</t>
  </si>
  <si>
    <t>003.004.004</t>
  </si>
  <si>
    <t>Destoca manual 0 &lt; d =15cm</t>
  </si>
  <si>
    <t>003.004.003</t>
  </si>
  <si>
    <t>Raspagem de camada vegetal</t>
  </si>
  <si>
    <t>003.004.008</t>
  </si>
  <si>
    <t>Destoca mecânica 15 &lt; d = 30cm</t>
  </si>
  <si>
    <t>TOTAL do Bloco PREPARO DO TERRENO</t>
  </si>
  <si>
    <t>Fita Plástica</t>
  </si>
  <si>
    <t>TOTAL do Bloco SINALIZAÇÃO DE SEGURANÇA</t>
  </si>
  <si>
    <t>TOTAL do Bloco SINALIZAÇÃO DE TRÂNSITO</t>
  </si>
  <si>
    <t>DEMOLIÇÃO</t>
  </si>
  <si>
    <t>003.007.002</t>
  </si>
  <si>
    <t>Alvenaria de tijolos furados sem reaproveitamento</t>
  </si>
  <si>
    <t>TOTAL do Bloco DEMOLIÇÃO</t>
  </si>
  <si>
    <t>003.009.003</t>
  </si>
  <si>
    <t>Com caçamba tipo "brooks"</t>
  </si>
  <si>
    <t>TOTAL do Bloco TRANSPORTE DE ENTULHOS</t>
  </si>
  <si>
    <t>TOTAL do Módulo SERVIÇOS PRELIMINARES</t>
  </si>
  <si>
    <t>Em terra compacta, prof. 0m &lt; h = 1m</t>
  </si>
  <si>
    <t>004.001.013</t>
  </si>
  <si>
    <t>Moledo ou cascalho, prof. 0m &lt; h = 1m</t>
  </si>
  <si>
    <t>TOTAL do Bloco ESCAVAÇÃO MANUAL DE VALAS</t>
  </si>
  <si>
    <t>Solos em geral, profundidade 0m &lt; h = 2m</t>
  </si>
  <si>
    <t>Solos em geral, profundidade 0m &lt; h = 4m</t>
  </si>
  <si>
    <t>004.002.005</t>
  </si>
  <si>
    <t>004.002.006</t>
  </si>
  <si>
    <t>Solo arenoso compacto ou argila dura (moledo ou cascalho), prof. 0m &lt; h = 2m</t>
  </si>
  <si>
    <t>Solo arenoso compacto ou argila dura (moledo ou cascalho), prof. 0m &lt; h = 4m</t>
  </si>
  <si>
    <t>TOTAL do Bloco ESCAVAÇÃO MECÂNICA DE VALAS EM QUALQUER TIPO DE SOLO, EXCETO ROCHA</t>
  </si>
  <si>
    <t>DESMONTE DE ROCHA BRANDA, EM VALAS</t>
  </si>
  <si>
    <t>004.003.002</t>
  </si>
  <si>
    <t>Sem uso de explosivo</t>
  </si>
  <si>
    <t>TOTAL do Bloco DESMONTE DE ROCHA BRANDA, EM VALAS</t>
  </si>
  <si>
    <t>RETIRADA DE ROCHA DESMONTADA, EM VALAS</t>
  </si>
  <si>
    <t>004.005.005</t>
  </si>
  <si>
    <t>Mecânica prof. 0m &lt; h = 2m</t>
  </si>
  <si>
    <t>004.005.006</t>
  </si>
  <si>
    <t>Mecânica prof. 0m &lt; h = 4m</t>
  </si>
  <si>
    <t>TOTAL do Bloco RETIRADA DE ROCHA DESMONTADA, EM VALAS</t>
  </si>
  <si>
    <t>ATERRO / REATERRO EM VALAS E CAVAS</t>
  </si>
  <si>
    <t>TOTAL do Bloco ATERRO / REATERRO EM VALAS E CAVAS</t>
  </si>
  <si>
    <t>TOTAL do Bloco COMPACTAÇÃO EM VALAS</t>
  </si>
  <si>
    <t>JAZIDA</t>
  </si>
  <si>
    <t>004.016.001</t>
  </si>
  <si>
    <t>Escavação de material em jazidas</t>
  </si>
  <si>
    <t>TOTAL do Bloco JAZIDA</t>
  </si>
  <si>
    <t>004.018.002</t>
  </si>
  <si>
    <t>Rocha</t>
  </si>
  <si>
    <t>TOTAL do Bloco CARGA E DESCARGA DE SOLOS</t>
  </si>
  <si>
    <t>004.019.004</t>
  </si>
  <si>
    <t>Rocha em caminho de serviço</t>
  </si>
  <si>
    <t>TOTAL do Bloco TRANSPORTE DE SOLOS</t>
  </si>
  <si>
    <t>TOTAL do Módulo MOVIMENTO DE SOLOS</t>
  </si>
  <si>
    <t>ESCORAMENTO METÁLICO</t>
  </si>
  <si>
    <t>Pontalete metálico</t>
  </si>
  <si>
    <t>TOTAL do Bloco ESCORAMENTO METÁLICO</t>
  </si>
  <si>
    <t>ESCORAMENTO METÁLICO TIPO CAIXA "GAIOLA"</t>
  </si>
  <si>
    <t>005.003.001</t>
  </si>
  <si>
    <t>Com chapa metálica - largura &lt; 1,50m</t>
  </si>
  <si>
    <t>TOTAL do Módulo ESCORAMENTO</t>
  </si>
  <si>
    <t>ESGOTAMENTO</t>
  </si>
  <si>
    <t>ESGOTAMENTO COM BOMBAS</t>
  </si>
  <si>
    <t>006.001.001</t>
  </si>
  <si>
    <t>Motor-bomba até 20 m³/h</t>
  </si>
  <si>
    <t>h</t>
  </si>
  <si>
    <t>TOTAL do Bloco ESGOTAMENTO COM BOMBAS</t>
  </si>
  <si>
    <t>TOTAL do Módulo ESGOTAMENTO</t>
  </si>
  <si>
    <t>008</t>
  </si>
  <si>
    <t>FUNDAÇÕES E ESTRUTURA</t>
  </si>
  <si>
    <t>ESTACA MOLDADA "IN LOCO"</t>
  </si>
  <si>
    <t>008.001.003</t>
  </si>
  <si>
    <t>Perfuração manual Ø 25 cm</t>
  </si>
  <si>
    <t>TOTAL do Bloco ESTACA MOLDADA "IN LOCO"</t>
  </si>
  <si>
    <t>FÔRMA PARA FUNDAÇÃO E BALDRAME</t>
  </si>
  <si>
    <t>008.010.001</t>
  </si>
  <si>
    <t>Plana em madeira não aparelhada</t>
  </si>
  <si>
    <t>TOTAL do Bloco FÔRMA PARA FUNDAÇÃO E BALDRAME</t>
  </si>
  <si>
    <t>ARMADURA</t>
  </si>
  <si>
    <t>008.019.001</t>
  </si>
  <si>
    <t>Em aço CA-50</t>
  </si>
  <si>
    <t>kg</t>
  </si>
  <si>
    <t>008.019.002</t>
  </si>
  <si>
    <t>Em aço CA-60</t>
  </si>
  <si>
    <t>TOTAL do Bloco ARMADURA</t>
  </si>
  <si>
    <t>COBRIMENTO DE ARMADURA</t>
  </si>
  <si>
    <t>008.020.002</t>
  </si>
  <si>
    <t>Pastilhas de concreto e=3,0cm</t>
  </si>
  <si>
    <t>TOTAL do Bloco COBRIMENTO DE ARMADURA</t>
  </si>
  <si>
    <t>021</t>
  </si>
  <si>
    <t>CONCRETO CONVENCIONAL</t>
  </si>
  <si>
    <t>008.021.001</t>
  </si>
  <si>
    <t>Não estrutural</t>
  </si>
  <si>
    <t>008.021.004</t>
  </si>
  <si>
    <t>fck = 25,0MPa</t>
  </si>
  <si>
    <t>TOTAL do Bloco CONCRETO CONVENCIONAL</t>
  </si>
  <si>
    <t>TOTAL do Módulo FUNDAÇÕES E ESTRUTURA</t>
  </si>
  <si>
    <t>009.002.003</t>
  </si>
  <si>
    <t>DN 200</t>
  </si>
  <si>
    <t>TOTAL do Bloco TUBULAÇÃO DE PVC JE / JEI PARA ESGOTO</t>
  </si>
  <si>
    <t>TUBULAÇÃO DE FERRO DÚCTIL JE / JE2GS / JTI</t>
  </si>
  <si>
    <t>009.007.003</t>
  </si>
  <si>
    <t>009.007.004</t>
  </si>
  <si>
    <t>TOTAL do Bloco TUBULAÇÃO DE FERRO DÚCTIL JE / JE2GS / JTI</t>
  </si>
  <si>
    <t>TOTAL do Bloco TERMINAL DE LIMPEZA (TL)</t>
  </si>
  <si>
    <t>Com profundidade até 1,00m</t>
  </si>
  <si>
    <t>Acréscimo para prof. Superior a 1,00m</t>
  </si>
  <si>
    <t>TOTAL do Bloco POÇO DE VISITA TIPO C - DN 800</t>
  </si>
  <si>
    <t>029</t>
  </si>
  <si>
    <t>EMBASAMENTO</t>
  </si>
  <si>
    <t>009.029.002</t>
  </si>
  <si>
    <t>Areia</t>
  </si>
  <si>
    <t>TOTAL do Bloco EMBASAMENTO</t>
  </si>
  <si>
    <t>TOTAL do Módulo ASSENTAMENTOS</t>
  </si>
  <si>
    <t>010.001.006</t>
  </si>
  <si>
    <t>Pedra irregular</t>
  </si>
  <si>
    <t>010.001.008</t>
  </si>
  <si>
    <t>Pavi-s</t>
  </si>
  <si>
    <t>TOTAL do Bloco RETIRADA DE PAVIMENTOS, GUIAS E SARJETAS</t>
  </si>
  <si>
    <t>010.003.006</t>
  </si>
  <si>
    <t>Pavis-s</t>
  </si>
  <si>
    <t>TOTAL do Bloco RECOMPOSIÇÃO DE PAVIMENTOS, GUIAS E SARJETAS COM REAPROVEITAMENTO TOTAL DO MATERIAL</t>
  </si>
  <si>
    <t>TOTAL do Bloco RECOMPOSIÇÃO DE PAVIMENTOS, GUIAS E SARJETAS COM REAPROVEITAMENTO PARCIAL DO MATERIAL</t>
  </si>
  <si>
    <t>RECOMPOSIÇÃO DE PAVIMENTO, GUIAS E SARJETAS SEM REAPROVEITAMENTO DO MATERIAL</t>
  </si>
  <si>
    <t>TOTAL do Bloco RECOMPOSIÇÃO DE PAVIMENTO, GUIAS E SARJETAS SEM REAPROVEITAMENTO DO MATERIAL</t>
  </si>
  <si>
    <t>TOTAL do Módulo PAVIMENTAÇÃO</t>
  </si>
  <si>
    <t>011</t>
  </si>
  <si>
    <t>FECHAMENTO</t>
  </si>
  <si>
    <t>PAREDE</t>
  </si>
  <si>
    <t>011.001.003</t>
  </si>
  <si>
    <t>Alvenaria de tijolo furado 1/2 vez</t>
  </si>
  <si>
    <t>TOTAL do Bloco PAREDE</t>
  </si>
  <si>
    <t>TOTAL do Módulo FECHAMENTO</t>
  </si>
  <si>
    <t>REVESTIMENTO E TRATAMENTO DE SUPERFÍCIE</t>
  </si>
  <si>
    <t>PAREDE, TETO E BEIRAL</t>
  </si>
  <si>
    <t>012.003.001</t>
  </si>
  <si>
    <t>Chapisco fino, traço 1:3 em parede</t>
  </si>
  <si>
    <t>012.003.007</t>
  </si>
  <si>
    <t>Emboço, traço 1:3:8 em parede</t>
  </si>
  <si>
    <t>012.003.014</t>
  </si>
  <si>
    <t>Reboco (calfino) em parede</t>
  </si>
  <si>
    <t>TOTAL do Bloco PAREDE, TETO E BEIRAL</t>
  </si>
  <si>
    <t>PINTURA</t>
  </si>
  <si>
    <t>012.004.017</t>
  </si>
  <si>
    <t>Látex PVA</t>
  </si>
  <si>
    <t>TOTAL do Bloco PINTURA</t>
  </si>
  <si>
    <t>TOTAL do Módulo REVESTIMENTO E TRATAMENTO DE SUPERFÍCIE</t>
  </si>
  <si>
    <t>016.016.001</t>
  </si>
  <si>
    <t>016.016.002</t>
  </si>
  <si>
    <t>016.016.004</t>
  </si>
  <si>
    <t>TOTAL do Bloco LIMPEZA DE OBRA</t>
  </si>
  <si>
    <t>TOTAL do Módulo SERVIÇOS DIVERSOS</t>
  </si>
  <si>
    <t>REDE COLETORA DE ESGOTOS - MATERIAIS</t>
  </si>
  <si>
    <t>999.001.001</t>
  </si>
  <si>
    <t>tubo pvc jei pb coletor de esgoto parede macica (6m)(comprimento util 5,88m)nbr 7362 ou nucleo celularnbr iso 21138-2 (de 160) dn 150  - 104647</t>
  </si>
  <si>
    <t>999.001.002</t>
  </si>
  <si>
    <t>curva pvc je/jeri/jei pb 90 coletor de esgoto com anel dn 150  - 115150</t>
  </si>
  <si>
    <t>999.001.003</t>
  </si>
  <si>
    <t>tampa e copo de concreto para inspecao de ligacao predial ede redes coletoras dn 150  - 282300</t>
  </si>
  <si>
    <t>cj</t>
  </si>
  <si>
    <t>999.001.004</t>
  </si>
  <si>
    <t>tampao fd classe 125 para poco de visita padrao sanepar  - 270369</t>
  </si>
  <si>
    <t>999.001.005</t>
  </si>
  <si>
    <t>tubo fd k-7 je 2gs pb para esgotonbr 15420 / je iso 7186 (5,5 ou 6,0m) dn 150  - 281484</t>
  </si>
  <si>
    <t>999.001.006</t>
  </si>
  <si>
    <t>tubo fd k-7 je 2gs pb para esgotonbr 15420 / je iso 7186 (5,5 ou 6,0m) dn 200  - 281492</t>
  </si>
  <si>
    <t>999.001.007</t>
  </si>
  <si>
    <t>tubo pvc jei pb coletor de esgoto parede macica (6m)(comprimento util 5,86m)nbr 7362 ou nucleo celularnbr iso 21138-2 (de 200) dn 200  - 148890</t>
  </si>
  <si>
    <t>TOTAL do Bloco 999.001</t>
  </si>
  <si>
    <t>tampao fd classe 50 para poco de visita padrao sanepar  - 270350</t>
  </si>
  <si>
    <t>TOTAL do Bloco 999.100</t>
  </si>
  <si>
    <t>TOTAL do Módulo 999</t>
  </si>
  <si>
    <t>LIGAÇÕES DOMICILIARES DE ESGOTO - SERVIÇOS</t>
  </si>
  <si>
    <t>Solo arenoso compacto ou argila dura (moledo ou cascalho), profundidade 0 m &lt; h = 2 m</t>
  </si>
  <si>
    <t>TOTAL do Bloco TUBO DE INSPEÇÃO E LIMPEZA (TIL) PARA LIGAÇÃO PREDIAL</t>
  </si>
  <si>
    <t>LIGAÇÕES DOMICILIARES DE ESGOTO - MATERIAIS</t>
  </si>
  <si>
    <t>te reducao pvc je/jeri/jei bbb coletor de esgoto com aneis dn 150 dn 100  - 255211</t>
  </si>
  <si>
    <t>tampa e copo de concreto para inspecao de ligacao predial ede redes coletoras dn 100  - 282299</t>
  </si>
  <si>
    <t>tubo pvc jei pb coletor de esgoto parede macica (6m)(comprimento util 5,90 m)nbr 7362 ou nucleo celularnbr iso 21138-2 (de 110) dn 100  - 104655</t>
  </si>
  <si>
    <t>curva pvc je/jeri/jei bb 90º coletor de esgoto com aneis raio 75 a 90 dn 100  - 22179</t>
  </si>
  <si>
    <t>999.004.001</t>
  </si>
  <si>
    <t>til de ligacao predial pvc je bbb com aneis dn 100  - 174912</t>
  </si>
  <si>
    <t>TOTAL do Bloco 999.004</t>
  </si>
  <si>
    <t>Álvaro Dênis Ceni Scolaro</t>
  </si>
  <si>
    <t>Ordem de serviço</t>
  </si>
  <si>
    <t>OSE 052</t>
  </si>
  <si>
    <t>OSE 053</t>
  </si>
  <si>
    <t>OSE 054</t>
  </si>
  <si>
    <t>OSE 055</t>
  </si>
  <si>
    <t>OSE 056</t>
  </si>
  <si>
    <t>OSE 057</t>
  </si>
  <si>
    <t>OSE 058</t>
  </si>
  <si>
    <t>OSE 059</t>
  </si>
  <si>
    <t>OSE 060</t>
  </si>
  <si>
    <t>Área de corte lateral (m²)</t>
  </si>
  <si>
    <t>Largura (m)</t>
  </si>
  <si>
    <t>Profundidade média (m)</t>
  </si>
  <si>
    <t>Profundidades</t>
  </si>
  <si>
    <t>PV-13</t>
  </si>
  <si>
    <t>PV-14</t>
  </si>
  <si>
    <t>PV-09</t>
  </si>
  <si>
    <t>TL-05</t>
  </si>
  <si>
    <t>TL-06</t>
  </si>
  <si>
    <t>PV-10</t>
  </si>
  <si>
    <t>PV-11</t>
  </si>
  <si>
    <t>TL-07</t>
  </si>
  <si>
    <t>PV-12</t>
  </si>
  <si>
    <t>TL-08</t>
  </si>
  <si>
    <t>Volume (m³)</t>
  </si>
  <si>
    <t>Extensão (m)</t>
  </si>
  <si>
    <t>As valas devem ser escavadas com a largura definida pela seguinte fórmula:</t>
  </si>
  <si>
    <t>L = D + SL + X + Y</t>
  </si>
  <si>
    <t>(MOS 5 - Módulo 004)</t>
  </si>
  <si>
    <t>Onde:</t>
  </si>
  <si>
    <t>D = Valor correspondente ao diâmetro nominal (DN) da tubulação, em m.</t>
  </si>
  <si>
    <t>L = Largura da vala, em m.</t>
  </si>
  <si>
    <t>SL = Valor correspondente à sobrelargura para área de serviço, em m, conforme tabela I.</t>
  </si>
  <si>
    <t>X = Valor igual a 0,10m, a ser considerado somente em valas com escoramento.</t>
  </si>
  <si>
    <t>Y = Acréscimo correspondente a 0,10m, para cada metro ou fração que exceder a profundidade de 2m.</t>
  </si>
  <si>
    <t>TIPO DE MATERIAL</t>
  </si>
  <si>
    <t>CERÂMICO</t>
  </si>
  <si>
    <t>PVC e RPVC</t>
  </si>
  <si>
    <t>CONCRETO ATÉ DN 500</t>
  </si>
  <si>
    <t>CONCRETO DN 600 A 800</t>
  </si>
  <si>
    <t>CONCRETO DN 900 A 1200</t>
  </si>
  <si>
    <t xml:space="preserve">CONCRETO DN 1500 </t>
  </si>
  <si>
    <t xml:space="preserve">CONCRETO DN 400 A 800 </t>
  </si>
  <si>
    <t>FD / PRFV ATÉ DN 300</t>
  </si>
  <si>
    <t xml:space="preserve">FD / PRFV DN 350 A 600 </t>
  </si>
  <si>
    <t xml:space="preserve">FD / PRFV DN 700 A 1200 </t>
  </si>
  <si>
    <t xml:space="preserve">AÇO ATÉ DN 300 </t>
  </si>
  <si>
    <t xml:space="preserve">AÇO DN 350 A 900 </t>
  </si>
  <si>
    <t>AÇO DN 1000 A 1200</t>
  </si>
  <si>
    <t xml:space="preserve">PEAD em barras </t>
  </si>
  <si>
    <t xml:space="preserve">PEAD em rolo – escavação manual </t>
  </si>
  <si>
    <t xml:space="preserve">PEAD em rolo – escavação mec prof. até 1,0m </t>
  </si>
  <si>
    <t>TIPO DE JUNTA</t>
  </si>
  <si>
    <t xml:space="preserve">MACHO E FÊMEA </t>
  </si>
  <si>
    <t>SOLDADA</t>
  </si>
  <si>
    <t>ELÁSTICA</t>
  </si>
  <si>
    <t>SL (m)</t>
  </si>
  <si>
    <t>TABELA I</t>
  </si>
  <si>
    <t>SOBRELARGURA DE VALAS (SL)</t>
  </si>
  <si>
    <t xml:space="preserve">*Escoramento é obrigatório para valas de profundidade superior a 1,25m. </t>
  </si>
  <si>
    <t>Escoramento (m²)</t>
  </si>
  <si>
    <t>PV-09_TL-05</t>
  </si>
  <si>
    <t>TL (ud)</t>
  </si>
  <si>
    <t>Embasamento (m³)</t>
  </si>
  <si>
    <t>DN=</t>
  </si>
  <si>
    <t>tubo pvc jei pb coletor de esgoto parede macica (6m)(comprimento util 5,88m)nbr 7362 ou nucleo celularnbr iso 21138-2 (de 160) dn 150</t>
  </si>
  <si>
    <t>tampa e copo de concreto para inspecao de ligacao predial ede redes coletoras dn 150</t>
  </si>
  <si>
    <t>tampao fd classe 125 para poco de visita padrao sanepar</t>
  </si>
  <si>
    <t>te reducao pvc je/jeri/jei bbb coletor de esgoto com aneis dn 150 dn 100</t>
  </si>
  <si>
    <t>tampa e copo de concreto para inspecao de ligacao predial ede redes coletoras dn 100</t>
  </si>
  <si>
    <t>tubo pvc jei pb coletor de esgoto parede macica (6m)(comprimento util 5,90 m)nbr 7362 ou nucleo celularnbr iso 21138-2 (de 110) dn 100</t>
  </si>
  <si>
    <t>curva pvc je/jeri/jei bb 90º coletor de esgoto com aneis raio 75 a 90 dn 100</t>
  </si>
  <si>
    <t>til de ligacao predial pvc je bbb com aneis dn 100</t>
  </si>
  <si>
    <t>TOTAL do Bloco ESCORAMENTO METÁLICO TIPO CAIXA "GAIOLA"</t>
  </si>
  <si>
    <t>tampao fd classe 50 para poco de visita padrao sanepar</t>
  </si>
  <si>
    <t>Prof. (m)</t>
  </si>
  <si>
    <t>Larg. (m)</t>
  </si>
  <si>
    <t>Exten. (m)</t>
  </si>
  <si>
    <t>Volume(m³)</t>
  </si>
  <si>
    <t>Ligações</t>
  </si>
  <si>
    <t>LIGAÇÕES PREDIAIS</t>
  </si>
  <si>
    <r>
      <t xml:space="preserve">    DATA DA ELABORAÇÃO:</t>
    </r>
    <r>
      <rPr>
        <b/>
        <sz val="10"/>
        <rFont val="Arial"/>
        <family val="2"/>
      </rPr>
      <t xml:space="preserve"> JUNHO/2025</t>
    </r>
  </si>
  <si>
    <r>
      <t xml:space="preserve">    LOCAL: </t>
    </r>
    <r>
      <rPr>
        <b/>
        <sz val="10"/>
        <rFont val="Arial"/>
        <family val="2"/>
      </rPr>
      <t>LOT. MENINO DEUS E LOT. NOVO HORIZONTE - CHOPINZINHO</t>
    </r>
  </si>
  <si>
    <r>
      <t xml:space="preserve">    OBRA: </t>
    </r>
    <r>
      <rPr>
        <b/>
        <sz val="10"/>
        <rFont val="Arial"/>
        <family val="2"/>
      </rPr>
      <t>AMPLIAÇÃO DE REDE DE ESGOTO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(7.571,00 metros)</t>
    </r>
  </si>
  <si>
    <t>PV's</t>
  </si>
  <si>
    <t>metros</t>
  </si>
  <si>
    <t>TOTAL:</t>
  </si>
  <si>
    <t>FITA PLÁSTICA (m)</t>
  </si>
  <si>
    <t>Aterro / Reaterro (m³)</t>
  </si>
  <si>
    <t>Mão de obra</t>
  </si>
  <si>
    <t>Escoramentos</t>
  </si>
  <si>
    <t>Metálico (m²)</t>
  </si>
  <si>
    <t>Caixa gaiola (m²)</t>
  </si>
  <si>
    <t>Extensão</t>
  </si>
  <si>
    <t>Largura</t>
  </si>
  <si>
    <t>010.003.005</t>
  </si>
  <si>
    <t>7.571 METROS</t>
  </si>
  <si>
    <t>LOTEAMENTOS MENINO DEUS E NOVO HORIZONTE - CHOPINZINHO</t>
  </si>
  <si>
    <t>UC 05/05</t>
  </si>
  <si>
    <t>UC 05 =&gt; 999.001</t>
  </si>
  <si>
    <t>UC 05 =&gt; 999.004</t>
  </si>
  <si>
    <t>UC 05 =&gt; 999</t>
  </si>
  <si>
    <t>UC 04 =&gt; 010</t>
  </si>
  <si>
    <t>UC 04 =&gt; 010.005</t>
  </si>
  <si>
    <t>UC 04 =&gt; 010.003</t>
  </si>
  <si>
    <t>UC 04 =&gt; 010.001</t>
  </si>
  <si>
    <t>UC 04 =&gt; 009</t>
  </si>
  <si>
    <t>UC 04 =&gt; 009.012</t>
  </si>
  <si>
    <t>UC 04 =&gt; 009.002</t>
  </si>
  <si>
    <t>UC 04 =&gt; 004</t>
  </si>
  <si>
    <t>UC 04 =&gt; 004.014</t>
  </si>
  <si>
    <t>UC 04 =&gt; 004.013</t>
  </si>
  <si>
    <t>UC 04 =&gt; 004.002</t>
  </si>
  <si>
    <t>UC 04 =&gt; 004.001</t>
  </si>
  <si>
    <t>UC 03 =&gt; 999</t>
  </si>
  <si>
    <t>UC 03 =&gt; 999.100</t>
  </si>
  <si>
    <t>UC 03 =&gt; 999.001</t>
  </si>
  <si>
    <t>UC 02 =&gt; 016</t>
  </si>
  <si>
    <t>UC 02 =&gt; 016.016</t>
  </si>
  <si>
    <t>UC 02 =&gt; 012.004</t>
  </si>
  <si>
    <t>UC 02 =&gt; 012</t>
  </si>
  <si>
    <t>UC 02 =&gt; 012.003</t>
  </si>
  <si>
    <t>UC 02 =&gt; 011.001</t>
  </si>
  <si>
    <t>UC 02 =&gt; 010.005</t>
  </si>
  <si>
    <t>UC 02 =&gt; 010</t>
  </si>
  <si>
    <t>UC 02 =&gt; 010.004</t>
  </si>
  <si>
    <t>UC 02 =&gt; 010.003</t>
  </si>
  <si>
    <t>UC 02 =&gt; 010.001</t>
  </si>
  <si>
    <t>UC 02 =&gt; 009</t>
  </si>
  <si>
    <t>UC 02 =&gt; 009.029</t>
  </si>
  <si>
    <t>UC 02 =&gt; 009.017</t>
  </si>
  <si>
    <t>UC 02 =&gt; 009.013</t>
  </si>
  <si>
    <t>UC 02 =&gt; 009.007</t>
  </si>
  <si>
    <t>UC 02 =&gt; 009.002</t>
  </si>
  <si>
    <t>UC 02 =&gt; 008.021</t>
  </si>
  <si>
    <t>UC 02 =&gt; 008</t>
  </si>
  <si>
    <t>UC 02 =&gt; 008.020</t>
  </si>
  <si>
    <t>UC 02 =&gt; 008.019</t>
  </si>
  <si>
    <t>UC 02 =&gt; 008.010</t>
  </si>
  <si>
    <t>UC 02 =&gt; 008.001</t>
  </si>
  <si>
    <t>UC 02 =&gt; 006.001</t>
  </si>
  <si>
    <t>UC 02 =&gt; 006</t>
  </si>
  <si>
    <t>UC 02 =&gt; 005.003</t>
  </si>
  <si>
    <t>UC 02 =&gt; 005</t>
  </si>
  <si>
    <t>UC 02 =&gt; 005.001</t>
  </si>
  <si>
    <t>UC 02 =&gt; 004.019</t>
  </si>
  <si>
    <t>UC 02 =&gt; 004</t>
  </si>
  <si>
    <t>UC 02 =&gt; 004.018</t>
  </si>
  <si>
    <t>UC 02 =&gt; 004.016</t>
  </si>
  <si>
    <t>UC 02 =&gt; 004.014</t>
  </si>
  <si>
    <t>UC 02 =&gt; 004.013</t>
  </si>
  <si>
    <t>UC 02 =&gt; 004.005</t>
  </si>
  <si>
    <t>UC 02 =&gt; 004.003</t>
  </si>
  <si>
    <t>UC 02 =&gt; 004.002</t>
  </si>
  <si>
    <t>UC 02 =&gt; 004.001</t>
  </si>
  <si>
    <t>UC 02 =&gt; 003.009</t>
  </si>
  <si>
    <t>UC 02 =&gt; 003</t>
  </si>
  <si>
    <t>UC 02 =&gt; 003.007</t>
  </si>
  <si>
    <t>UC 02 =&gt; 003.006</t>
  </si>
  <si>
    <t>UC 02 =&gt; 003.005</t>
  </si>
  <si>
    <t>UC 02 =&gt; 003.004</t>
  </si>
  <si>
    <t>UC 02 =&gt; 003.001</t>
  </si>
  <si>
    <t>UC 02 =&gt; 002</t>
  </si>
  <si>
    <t>UC 02 =&gt; 002.007</t>
  </si>
  <si>
    <t>UC 02 =&gt; 002.001</t>
  </si>
  <si>
    <t>UC - 02/05</t>
  </si>
  <si>
    <t>UC - 01/05</t>
  </si>
  <si>
    <t>UC - 03/05</t>
  </si>
  <si>
    <t>UC - 04/05</t>
  </si>
  <si>
    <t>CANTEIRO DE OBRAS</t>
  </si>
  <si>
    <t>001.001.008</t>
  </si>
  <si>
    <t>001.002.001</t>
  </si>
  <si>
    <t>001.003.001</t>
  </si>
  <si>
    <t>001.005.001</t>
  </si>
  <si>
    <t>CONSTRUÇÃO DO CANTEIRO</t>
  </si>
  <si>
    <t>Sanitário químico</t>
  </si>
  <si>
    <t>udxmês</t>
  </si>
  <si>
    <t>ABASTECIMENTO DE ENERGIA ELÉTRICA</t>
  </si>
  <si>
    <t>Entrada provisória de energia trifásica 70A</t>
  </si>
  <si>
    <t>ABASTECIMENTO DE ÁGUA</t>
  </si>
  <si>
    <t>Entrada provisória de água</t>
  </si>
  <si>
    <t>PLACA DE OBRA</t>
  </si>
  <si>
    <t>UC 01 =&gt; 001.001</t>
  </si>
  <si>
    <t>TOTAL do Bloco CONSTRUÇÃO DO CANTEIRO</t>
  </si>
  <si>
    <t>UC 01 =&gt; 001.002</t>
  </si>
  <si>
    <t>TOTAL do Bloco ABASTECIMENTO DE ENERGIA ELÉTRICA</t>
  </si>
  <si>
    <t>UC 01 =&gt; 001.003</t>
  </si>
  <si>
    <t>TOTAL do Bloco ABASTECIMENTO DE ÁGUA</t>
  </si>
  <si>
    <t>UC 01 =&gt; 001.005</t>
  </si>
  <si>
    <t>TOTAL do Bloco PLACA DE OBRA</t>
  </si>
  <si>
    <t>UC 01 =&gt; 001</t>
  </si>
  <si>
    <t>TOTAL do Módulo CANTEIRO DE OBRAS</t>
  </si>
  <si>
    <t>Em chapa metálica</t>
  </si>
  <si>
    <t>mês</t>
  </si>
  <si>
    <r>
      <t xml:space="preserve">    BASE: </t>
    </r>
    <r>
      <rPr>
        <b/>
        <sz val="10"/>
        <rFont val="Arial"/>
        <family val="2"/>
      </rPr>
      <t>SANEPAR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 ORSE</t>
    </r>
  </si>
  <si>
    <t>04298/ORSE</t>
  </si>
  <si>
    <t>Aluguel de container - escritório com banheiro - 6,20 x 2,40m, equipado com ar condicionado</t>
  </si>
  <si>
    <t>ADMINISTRAÇÃO LOCAL:</t>
  </si>
  <si>
    <t>(NBR 12.721/2021)???</t>
  </si>
  <si>
    <t>ADMINISTRAÇÃO LOCAL</t>
  </si>
  <si>
    <t>Engenheiro Civil de Obra Junior (horista)</t>
  </si>
  <si>
    <t>SINAPI-I 2706</t>
  </si>
  <si>
    <t>TOTAL do Bloco PESSOAL</t>
  </si>
  <si>
    <t>QUADRO DE PESSOAL</t>
  </si>
  <si>
    <t>Encarregado geral de obras (mensalista)</t>
  </si>
  <si>
    <t>SINAPI-I 40818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</si>
</sst>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R$ &quot;* #,##0.00_);_(&quot;R$ &quot;* \(#,##0.00\);_(&quot;R$ &quot;* &quot;-&quot;??_);_(@_)"/>
    <numFmt numFmtId="165" formatCode="0.000"/>
    <numFmt numFmtId="166" formatCode="_(* #,##0.00_);_(* \(#,##0.00\);_(* &quot;-&quot;??_);_(@_)"/>
    <numFmt numFmtId="167" formatCode="#,##0.00_);[Red]\(#,##0.00\);"/>
    <numFmt numFmtId="168" formatCode="dd\-mmm\-yy"/>
    <numFmt numFmtId="169" formatCode="0.0000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6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/>
  </cellStyleXfs>
  <cellXfs count="528">
    <xf numFmtId="0" fontId="0" fillId="0" borderId="0" xfId="0"/>
    <xf numFmtId="49" fontId="2" fillId="2" borderId="4" xfId="0" quotePrefix="1" applyNumberFormat="1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Alignment="1">
      <alignment horizontal="right" vertical="center" wrapText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65" fontId="4" fillId="2" borderId="0" xfId="0" applyNumberFormat="1" applyFont="1" applyFill="1" applyAlignment="1" applyProtection="1">
      <alignment horizontal="right" vertical="center" wrapText="1"/>
      <protection hidden="1"/>
    </xf>
    <xf numFmtId="49" fontId="2" fillId="2" borderId="4" xfId="0" applyNumberFormat="1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165" fontId="7" fillId="2" borderId="0" xfId="0" applyNumberFormat="1" applyFont="1" applyFill="1" applyAlignment="1" applyProtection="1">
      <alignment horizontal="right" vertical="center" wrapText="1"/>
      <protection hidden="1"/>
    </xf>
    <xf numFmtId="0" fontId="3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165" fontId="2" fillId="2" borderId="0" xfId="0" applyNumberFormat="1" applyFont="1" applyFill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 applyProtection="1">
      <alignment horizontal="right" vertical="center" wrapText="1"/>
      <protection hidden="1"/>
    </xf>
    <xf numFmtId="0" fontId="7" fillId="2" borderId="5" xfId="0" applyFont="1" applyFill="1" applyBorder="1" applyAlignment="1" applyProtection="1">
      <alignment horizontal="right" vertical="center" wrapText="1"/>
      <protection hidden="1"/>
    </xf>
    <xf numFmtId="2" fontId="3" fillId="2" borderId="5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9" fontId="8" fillId="2" borderId="0" xfId="1" applyFont="1" applyFill="1" applyBorder="1" applyAlignment="1" applyProtection="1">
      <alignment horizontal="left" vertical="center" wrapText="1"/>
      <protection hidden="1"/>
    </xf>
    <xf numFmtId="0" fontId="13" fillId="3" borderId="1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8" xfId="0" applyBorder="1"/>
    <xf numFmtId="1" fontId="18" fillId="2" borderId="31" xfId="0" applyNumberFormat="1" applyFont="1" applyFill="1" applyBorder="1" applyAlignment="1">
      <alignment horizontal="center" vertical="center" wrapText="1"/>
    </xf>
    <xf numFmtId="10" fontId="3" fillId="2" borderId="33" xfId="0" applyNumberFormat="1" applyFont="1" applyFill="1" applyBorder="1" applyAlignment="1">
      <alignment horizontal="center" vertical="center"/>
    </xf>
    <xf numFmtId="10" fontId="3" fillId="2" borderId="33" xfId="2" applyNumberFormat="1" applyFont="1" applyFill="1" applyBorder="1" applyAlignment="1">
      <alignment horizontal="center" vertical="center"/>
    </xf>
    <xf numFmtId="10" fontId="3" fillId="2" borderId="39" xfId="0" applyNumberFormat="1" applyFont="1" applyFill="1" applyBorder="1" applyAlignment="1">
      <alignment horizontal="center" vertical="center"/>
    </xf>
    <xf numFmtId="10" fontId="3" fillId="2" borderId="39" xfId="2" applyNumberFormat="1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4" fontId="3" fillId="2" borderId="42" xfId="0" applyNumberFormat="1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10" fontId="3" fillId="2" borderId="43" xfId="0" applyNumberFormat="1" applyFont="1" applyFill="1" applyBorder="1" applyAlignment="1">
      <alignment horizontal="center" vertical="center"/>
    </xf>
    <xf numFmtId="4" fontId="3" fillId="2" borderId="34" xfId="0" applyNumberFormat="1" applyFont="1" applyFill="1" applyBorder="1" applyAlignment="1">
      <alignment horizontal="center" vertical="center"/>
    </xf>
    <xf numFmtId="10" fontId="3" fillId="2" borderId="44" xfId="0" applyNumberFormat="1" applyFont="1" applyFill="1" applyBorder="1" applyAlignment="1">
      <alignment horizontal="center" vertical="center"/>
    </xf>
    <xf numFmtId="10" fontId="3" fillId="2" borderId="45" xfId="0" applyNumberFormat="1" applyFont="1" applyFill="1" applyBorder="1" applyAlignment="1">
      <alignment horizontal="center" vertical="center"/>
    </xf>
    <xf numFmtId="0" fontId="19" fillId="2" borderId="4" xfId="0" applyFont="1" applyFill="1" applyBorder="1"/>
    <xf numFmtId="0" fontId="19" fillId="2" borderId="0" xfId="0" applyFont="1" applyFill="1"/>
    <xf numFmtId="0" fontId="0" fillId="2" borderId="0" xfId="0" applyFill="1"/>
    <xf numFmtId="0" fontId="0" fillId="2" borderId="5" xfId="0" applyFill="1" applyBorder="1"/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9" fillId="2" borderId="5" xfId="0" applyFont="1" applyFill="1" applyBorder="1"/>
    <xf numFmtId="4" fontId="19" fillId="2" borderId="0" xfId="2" applyNumberFormat="1" applyFont="1" applyFill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166" fontId="2" fillId="2" borderId="0" xfId="0" applyNumberFormat="1" applyFont="1" applyFill="1" applyAlignment="1">
      <alignment horizontal="center"/>
    </xf>
    <xf numFmtId="4" fontId="21" fillId="2" borderId="0" xfId="2" applyNumberFormat="1" applyFill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47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Alignment="1" applyProtection="1">
      <alignment horizontal="center" vertical="center" wrapText="1"/>
      <protection locked="0"/>
    </xf>
    <xf numFmtId="4" fontId="18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4" fontId="3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/>
    </xf>
    <xf numFmtId="0" fontId="19" fillId="5" borderId="0" xfId="0" applyFont="1" applyFill="1" applyAlignment="1">
      <alignment horizontal="center" vertical="center" wrapText="1"/>
    </xf>
    <xf numFmtId="0" fontId="0" fillId="5" borderId="0" xfId="0" applyFill="1"/>
    <xf numFmtId="0" fontId="19" fillId="5" borderId="5" xfId="0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/>
    </xf>
    <xf numFmtId="0" fontId="19" fillId="5" borderId="0" xfId="0" applyFont="1" applyFill="1"/>
    <xf numFmtId="167" fontId="19" fillId="5" borderId="0" xfId="0" applyNumberFormat="1" applyFont="1" applyFill="1" applyAlignment="1" applyProtection="1">
      <alignment horizontal="center" vertical="center" wrapText="1"/>
      <protection locked="0"/>
    </xf>
    <xf numFmtId="167" fontId="19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0" xfId="0" applyNumberFormat="1" applyFont="1" applyFill="1" applyAlignment="1" applyProtection="1">
      <alignment horizontal="center" vertical="center" wrapText="1"/>
      <protection locked="0"/>
    </xf>
    <xf numFmtId="167" fontId="19" fillId="5" borderId="0" xfId="0" applyNumberFormat="1" applyFont="1" applyFill="1" applyAlignment="1" applyProtection="1">
      <alignment horizontal="center" vertical="center" wrapText="1"/>
      <protection hidden="1"/>
    </xf>
    <xf numFmtId="4" fontId="19" fillId="5" borderId="0" xfId="2" applyNumberFormat="1" applyFont="1" applyFill="1" applyAlignment="1">
      <alignment horizontal="center"/>
    </xf>
    <xf numFmtId="10" fontId="3" fillId="2" borderId="53" xfId="0" applyNumberFormat="1" applyFont="1" applyFill="1" applyBorder="1" applyAlignment="1">
      <alignment horizontal="center" vertical="center"/>
    </xf>
    <xf numFmtId="10" fontId="3" fillId="2" borderId="53" xfId="2" applyNumberFormat="1" applyFont="1" applyFill="1" applyBorder="1" applyAlignment="1">
      <alignment horizontal="center" vertical="center"/>
    </xf>
    <xf numFmtId="10" fontId="3" fillId="2" borderId="54" xfId="0" applyNumberFormat="1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1" fontId="18" fillId="2" borderId="62" xfId="0" applyNumberFormat="1" applyFont="1" applyFill="1" applyBorder="1" applyAlignment="1">
      <alignment horizontal="center" vertical="center"/>
    </xf>
    <xf numFmtId="1" fontId="18" fillId="2" borderId="63" xfId="0" applyNumberFormat="1" applyFont="1" applyFill="1" applyBorder="1" applyAlignment="1">
      <alignment horizontal="center" vertical="center" wrapText="1"/>
    </xf>
    <xf numFmtId="10" fontId="3" fillId="2" borderId="51" xfId="0" applyNumberFormat="1" applyFont="1" applyFill="1" applyBorder="1" applyAlignment="1">
      <alignment horizontal="center" vertical="center"/>
    </xf>
    <xf numFmtId="10" fontId="3" fillId="2" borderId="55" xfId="0" applyNumberFormat="1" applyFont="1" applyFill="1" applyBorder="1" applyAlignment="1">
      <alignment horizontal="center" vertical="center"/>
    </xf>
    <xf numFmtId="10" fontId="3" fillId="2" borderId="59" xfId="0" applyNumberFormat="1" applyFont="1" applyFill="1" applyBorder="1" applyAlignment="1">
      <alignment horizontal="center" vertical="center"/>
    </xf>
    <xf numFmtId="10" fontId="3" fillId="2" borderId="48" xfId="0" applyNumberFormat="1" applyFont="1" applyFill="1" applyBorder="1" applyAlignment="1">
      <alignment horizontal="center" vertical="center"/>
    </xf>
    <xf numFmtId="10" fontId="3" fillId="2" borderId="60" xfId="0" applyNumberFormat="1" applyFont="1" applyFill="1" applyBorder="1" applyAlignment="1">
      <alignment horizontal="center" vertical="center"/>
    </xf>
    <xf numFmtId="10" fontId="3" fillId="2" borderId="49" xfId="0" applyNumberFormat="1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4" fontId="3" fillId="2" borderId="67" xfId="0" applyNumberFormat="1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center" vertical="center"/>
    </xf>
    <xf numFmtId="10" fontId="3" fillId="2" borderId="68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2" fontId="9" fillId="0" borderId="0" xfId="0" applyNumberFormat="1" applyFont="1"/>
    <xf numFmtId="0" fontId="13" fillId="0" borderId="11" xfId="0" applyFont="1" applyBorder="1" applyAlignment="1">
      <alignment horizontal="left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" fontId="10" fillId="0" borderId="6" xfId="0" applyNumberFormat="1" applyFont="1" applyBorder="1"/>
    <xf numFmtId="2" fontId="10" fillId="0" borderId="6" xfId="0" applyNumberFormat="1" applyFont="1" applyBorder="1"/>
    <xf numFmtId="0" fontId="13" fillId="4" borderId="1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/>
    <xf numFmtId="4" fontId="11" fillId="0" borderId="6" xfId="0" applyNumberFormat="1" applyFont="1" applyBorder="1"/>
    <xf numFmtId="0" fontId="9" fillId="4" borderId="6" xfId="0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/>
    </xf>
    <xf numFmtId="2" fontId="11" fillId="4" borderId="13" xfId="0" applyNumberFormat="1" applyFont="1" applyFill="1" applyBorder="1" applyAlignment="1">
      <alignment horizontal="center" vertical="center"/>
    </xf>
    <xf numFmtId="4" fontId="13" fillId="4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10" fontId="9" fillId="0" borderId="14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4" xfId="0" applyNumberFormat="1" applyFont="1" applyBorder="1" applyAlignment="1">
      <alignment vertical="center"/>
    </xf>
    <xf numFmtId="49" fontId="15" fillId="0" borderId="10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vertical="center"/>
    </xf>
    <xf numFmtId="49" fontId="13" fillId="0" borderId="1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vertical="center"/>
    </xf>
    <xf numFmtId="0" fontId="9" fillId="0" borderId="69" xfId="0" applyFont="1" applyBorder="1" applyAlignment="1">
      <alignment horizontal="left" vertical="center" wrapText="1"/>
    </xf>
    <xf numFmtId="0" fontId="15" fillId="0" borderId="70" xfId="0" applyFont="1" applyBorder="1" applyAlignment="1">
      <alignment horizontal="center" vertical="center"/>
    </xf>
    <xf numFmtId="4" fontId="9" fillId="0" borderId="70" xfId="0" applyNumberFormat="1" applyFont="1" applyBorder="1" applyAlignment="1">
      <alignment horizontal="center" vertical="center"/>
    </xf>
    <xf numFmtId="0" fontId="10" fillId="3" borderId="10" xfId="0" applyFont="1" applyFill="1" applyBorder="1"/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0" fontId="10" fillId="3" borderId="14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horizontal="left"/>
    </xf>
    <xf numFmtId="2" fontId="9" fillId="0" borderId="13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/>
    </xf>
    <xf numFmtId="10" fontId="9" fillId="0" borderId="13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10" fontId="10" fillId="0" borderId="1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0" fontId="9" fillId="0" borderId="13" xfId="0" applyNumberFormat="1" applyFont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left"/>
    </xf>
    <xf numFmtId="10" fontId="10" fillId="3" borderId="13" xfId="0" applyNumberFormat="1" applyFont="1" applyFill="1" applyBorder="1" applyAlignment="1">
      <alignment horizontal="center" vertical="center"/>
    </xf>
    <xf numFmtId="4" fontId="10" fillId="3" borderId="13" xfId="0" applyNumberFormat="1" applyFont="1" applyFill="1" applyBorder="1" applyAlignment="1">
      <alignment horizontal="center" vertical="center"/>
    </xf>
    <xf numFmtId="10" fontId="10" fillId="3" borderId="13" xfId="0" applyNumberFormat="1" applyFont="1" applyFill="1" applyBorder="1" applyAlignment="1">
      <alignment vertical="center"/>
    </xf>
    <xf numFmtId="49" fontId="10" fillId="4" borderId="6" xfId="0" applyNumberFormat="1" applyFont="1" applyFill="1" applyBorder="1" applyAlignment="1">
      <alignment horizontal="left"/>
    </xf>
    <xf numFmtId="10" fontId="10" fillId="4" borderId="13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10" fontId="10" fillId="4" borderId="1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horizontal="left"/>
    </xf>
    <xf numFmtId="10" fontId="9" fillId="4" borderId="13" xfId="0" applyNumberFormat="1" applyFont="1" applyFill="1" applyBorder="1" applyAlignment="1">
      <alignment horizontal="center" vertical="center"/>
    </xf>
    <xf numFmtId="0" fontId="0" fillId="0" borderId="23" xfId="0" applyBorder="1"/>
    <xf numFmtId="2" fontId="0" fillId="0" borderId="23" xfId="0" applyNumberFormat="1" applyBorder="1"/>
    <xf numFmtId="2" fontId="0" fillId="0" borderId="0" xfId="0" applyNumberFormat="1"/>
    <xf numFmtId="2" fontId="0" fillId="0" borderId="71" xfId="0" applyNumberFormat="1" applyBorder="1"/>
    <xf numFmtId="0" fontId="0" fillId="0" borderId="73" xfId="0" applyBorder="1"/>
    <xf numFmtId="2" fontId="0" fillId="0" borderId="73" xfId="0" applyNumberFormat="1" applyBorder="1"/>
    <xf numFmtId="2" fontId="23" fillId="0" borderId="72" xfId="0" applyNumberFormat="1" applyFont="1" applyBorder="1" applyAlignment="1">
      <alignment horizontal="right"/>
    </xf>
    <xf numFmtId="0" fontId="23" fillId="0" borderId="6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0" fillId="0" borderId="0" xfId="0" applyAlignment="1">
      <alignment horizontal="left"/>
    </xf>
    <xf numFmtId="0" fontId="23" fillId="0" borderId="30" xfId="0" applyFon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76" xfId="0" applyNumberFormat="1" applyBorder="1" applyAlignment="1">
      <alignment horizontal="center"/>
    </xf>
    <xf numFmtId="2" fontId="23" fillId="0" borderId="6" xfId="0" applyNumberFormat="1" applyFont="1" applyBorder="1"/>
    <xf numFmtId="0" fontId="0" fillId="6" borderId="0" xfId="0" applyFill="1"/>
    <xf numFmtId="2" fontId="0" fillId="0" borderId="77" xfId="0" applyNumberFormat="1" applyBorder="1"/>
    <xf numFmtId="2" fontId="0" fillId="0" borderId="24" xfId="0" applyNumberFormat="1" applyBorder="1"/>
    <xf numFmtId="0" fontId="23" fillId="0" borderId="6" xfId="0" applyFont="1" applyBorder="1"/>
    <xf numFmtId="2" fontId="0" fillId="0" borderId="78" xfId="0" applyNumberFormat="1" applyBorder="1"/>
    <xf numFmtId="2" fontId="23" fillId="0" borderId="79" xfId="0" applyNumberFormat="1" applyFont="1" applyBorder="1" applyAlignment="1">
      <alignment horizontal="right"/>
    </xf>
    <xf numFmtId="0" fontId="23" fillId="0" borderId="6" xfId="0" applyFont="1" applyBorder="1" applyAlignment="1">
      <alignment horizontal="center" wrapText="1"/>
    </xf>
    <xf numFmtId="0" fontId="0" fillId="0" borderId="71" xfId="0" applyBorder="1"/>
    <xf numFmtId="0" fontId="0" fillId="0" borderId="23" xfId="0" applyBorder="1" applyAlignment="1">
      <alignment horizontal="center"/>
    </xf>
    <xf numFmtId="0" fontId="0" fillId="0" borderId="75" xfId="0" applyBorder="1" applyAlignment="1">
      <alignment horizontal="center"/>
    </xf>
    <xf numFmtId="0" fontId="23" fillId="0" borderId="15" xfId="0" applyFont="1" applyBorder="1" applyAlignment="1">
      <alignment horizontal="right"/>
    </xf>
    <xf numFmtId="0" fontId="23" fillId="0" borderId="13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23" fillId="0" borderId="4" xfId="0" applyFont="1" applyBorder="1"/>
    <xf numFmtId="0" fontId="0" fillId="0" borderId="73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22" xfId="0" applyBorder="1"/>
    <xf numFmtId="0" fontId="0" fillId="0" borderId="84" xfId="0" applyBorder="1"/>
    <xf numFmtId="2" fontId="0" fillId="0" borderId="29" xfId="0" applyNumberFormat="1" applyBorder="1"/>
    <xf numFmtId="2" fontId="0" fillId="0" borderId="87" xfId="0" applyNumberFormat="1" applyBorder="1"/>
    <xf numFmtId="2" fontId="0" fillId="0" borderId="88" xfId="0" applyNumberFormat="1" applyBorder="1"/>
    <xf numFmtId="2" fontId="0" fillId="0" borderId="76" xfId="0" applyNumberFormat="1" applyBorder="1"/>
    <xf numFmtId="0" fontId="24" fillId="0" borderId="11" xfId="0" applyFont="1" applyBorder="1"/>
    <xf numFmtId="0" fontId="24" fillId="0" borderId="13" xfId="0" applyFont="1" applyBorder="1"/>
    <xf numFmtId="0" fontId="24" fillId="0" borderId="6" xfId="0" applyFont="1" applyBorder="1"/>
    <xf numFmtId="0" fontId="24" fillId="0" borderId="6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90" xfId="0" applyNumberFormat="1" applyBorder="1"/>
    <xf numFmtId="2" fontId="0" fillId="0" borderId="75" xfId="0" applyNumberFormat="1" applyBorder="1"/>
    <xf numFmtId="0" fontId="0" fillId="0" borderId="76" xfId="0" applyBorder="1" applyAlignment="1">
      <alignment horizontal="center"/>
    </xf>
    <xf numFmtId="2" fontId="23" fillId="0" borderId="17" xfId="0" applyNumberFormat="1" applyFont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3" xfId="0" applyFont="1" applyBorder="1"/>
    <xf numFmtId="0" fontId="0" fillId="0" borderId="24" xfId="0" applyBorder="1" applyAlignment="1">
      <alignment horizontal="right"/>
    </xf>
    <xf numFmtId="0" fontId="23" fillId="0" borderId="13" xfId="0" applyFont="1" applyBorder="1"/>
    <xf numFmtId="2" fontId="23" fillId="0" borderId="13" xfId="0" applyNumberFormat="1" applyFont="1" applyBorder="1"/>
    <xf numFmtId="169" fontId="9" fillId="0" borderId="0" xfId="0" applyNumberFormat="1" applyFont="1"/>
    <xf numFmtId="4" fontId="10" fillId="0" borderId="0" xfId="0" applyNumberFormat="1" applyFont="1"/>
    <xf numFmtId="2" fontId="10" fillId="0" borderId="0" xfId="0" applyNumberFormat="1" applyFont="1"/>
    <xf numFmtId="4" fontId="11" fillId="3" borderId="0" xfId="0" applyNumberFormat="1" applyFont="1" applyFill="1"/>
    <xf numFmtId="4" fontId="11" fillId="0" borderId="0" xfId="0" applyNumberFormat="1" applyFont="1"/>
    <xf numFmtId="2" fontId="9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10" fontId="9" fillId="0" borderId="0" xfId="0" applyNumberFormat="1" applyFont="1"/>
    <xf numFmtId="0" fontId="25" fillId="0" borderId="6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15" fillId="0" borderId="12" xfId="0" applyFont="1" applyBorder="1" applyAlignment="1">
      <alignment horizontal="left" vertical="center"/>
    </xf>
    <xf numFmtId="2" fontId="0" fillId="0" borderId="23" xfId="0" applyNumberFormat="1" applyBorder="1" applyAlignment="1">
      <alignment horizontal="center"/>
    </xf>
    <xf numFmtId="2" fontId="0" fillId="0" borderId="73" xfId="0" applyNumberFormat="1" applyBorder="1" applyAlignment="1">
      <alignment horizontal="center"/>
    </xf>
    <xf numFmtId="4" fontId="15" fillId="0" borderId="10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9" fillId="0" borderId="8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10" fontId="9" fillId="0" borderId="2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10" fontId="9" fillId="0" borderId="19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91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0" fontId="10" fillId="0" borderId="91" xfId="0" applyNumberFormat="1" applyFont="1" applyBorder="1" applyAlignment="1">
      <alignment horizontal="center" vertical="center" wrapText="1"/>
    </xf>
    <xf numFmtId="4" fontId="10" fillId="0" borderId="91" xfId="0" applyNumberFormat="1" applyFont="1" applyBorder="1" applyAlignment="1">
      <alignment horizontal="center" vertical="center" wrapText="1"/>
    </xf>
    <xf numFmtId="10" fontId="10" fillId="0" borderId="92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49" fontId="10" fillId="0" borderId="93" xfId="0" applyNumberFormat="1" applyFont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10" fontId="10" fillId="3" borderId="1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10" fontId="10" fillId="3" borderId="6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 wrapText="1"/>
    </xf>
    <xf numFmtId="10" fontId="10" fillId="4" borderId="5" xfId="0" applyNumberFormat="1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/>
    </xf>
    <xf numFmtId="2" fontId="9" fillId="0" borderId="80" xfId="0" applyNumberFormat="1" applyFont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4" fontId="9" fillId="0" borderId="5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77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 wrapText="1"/>
    </xf>
    <xf numFmtId="4" fontId="9" fillId="0" borderId="89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" fontId="18" fillId="2" borderId="46" xfId="0" applyNumberFormat="1" applyFont="1" applyFill="1" applyBorder="1" applyAlignment="1">
      <alignment horizontal="center" vertical="center"/>
    </xf>
    <xf numFmtId="0" fontId="26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73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18" xfId="0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69" xfId="0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74" xfId="0" applyBorder="1" applyAlignment="1">
      <alignment horizontal="left" wrapText="1"/>
    </xf>
    <xf numFmtId="0" fontId="0" fillId="0" borderId="75" xfId="0" applyBorder="1" applyAlignment="1">
      <alignment horizontal="left" wrapText="1"/>
    </xf>
    <xf numFmtId="0" fontId="0" fillId="0" borderId="83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84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8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77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84" xfId="0" applyBorder="1" applyAlignment="1">
      <alignment horizontal="left" wrapText="1"/>
    </xf>
    <xf numFmtId="0" fontId="0" fillId="0" borderId="71" xfId="0" applyBorder="1" applyAlignment="1">
      <alignment horizontal="left" wrapText="1"/>
    </xf>
    <xf numFmtId="0" fontId="0" fillId="0" borderId="46" xfId="0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85" xfId="0" applyBorder="1" applyAlignment="1">
      <alignment horizontal="left"/>
    </xf>
    <xf numFmtId="0" fontId="0" fillId="0" borderId="81" xfId="0" applyBorder="1" applyAlignment="1">
      <alignment horizontal="left"/>
    </xf>
    <xf numFmtId="0" fontId="0" fillId="0" borderId="74" xfId="0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19" fillId="5" borderId="0" xfId="0" applyFont="1" applyFill="1" applyAlignment="1">
      <alignment horizontal="center" vertical="center" wrapText="1"/>
    </xf>
    <xf numFmtId="167" fontId="19" fillId="5" borderId="0" xfId="0" applyNumberFormat="1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/>
    </xf>
    <xf numFmtId="168" fontId="17" fillId="2" borderId="0" xfId="0" applyNumberFormat="1" applyFont="1" applyFill="1" applyAlignment="1">
      <alignment horizontal="left"/>
    </xf>
    <xf numFmtId="0" fontId="18" fillId="2" borderId="36" xfId="0" applyFont="1" applyFill="1" applyBorder="1" applyAlignment="1">
      <alignment horizontal="left" vertical="center" wrapText="1"/>
    </xf>
    <xf numFmtId="0" fontId="18" fillId="2" borderId="37" xfId="0" applyFont="1" applyFill="1" applyBorder="1" applyAlignment="1">
      <alignment horizontal="left" vertical="center" wrapText="1"/>
    </xf>
    <xf numFmtId="0" fontId="18" fillId="2" borderId="38" xfId="0" applyFont="1" applyFill="1" applyBorder="1" applyAlignment="1">
      <alignment vertical="center" wrapText="1"/>
    </xf>
    <xf numFmtId="0" fontId="18" fillId="2" borderId="39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vertical="center" wrapText="1"/>
    </xf>
    <xf numFmtId="0" fontId="18" fillId="2" borderId="36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 wrapText="1"/>
    </xf>
    <xf numFmtId="0" fontId="18" fillId="2" borderId="32" xfId="0" applyFont="1" applyFill="1" applyBorder="1" applyAlignment="1">
      <alignment vertical="center" wrapText="1"/>
    </xf>
    <xf numFmtId="0" fontId="18" fillId="2" borderId="33" xfId="0" applyFont="1" applyFill="1" applyBorder="1" applyAlignment="1">
      <alignment vertical="center" wrapText="1"/>
    </xf>
    <xf numFmtId="0" fontId="18" fillId="2" borderId="44" xfId="0" applyFont="1" applyFill="1" applyBorder="1" applyAlignment="1">
      <alignment vertical="center" wrapText="1"/>
    </xf>
    <xf numFmtId="49" fontId="18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9" xfId="0" applyFont="1" applyFill="1" applyBorder="1" applyAlignment="1">
      <alignment horizontal="center"/>
    </xf>
    <xf numFmtId="1" fontId="18" fillId="2" borderId="56" xfId="0" applyNumberFormat="1" applyFont="1" applyFill="1" applyBorder="1" applyAlignment="1">
      <alignment horizontal="center" vertical="center"/>
    </xf>
    <xf numFmtId="1" fontId="18" fillId="2" borderId="46" xfId="0" applyNumberFormat="1" applyFont="1" applyFill="1" applyBorder="1" applyAlignment="1">
      <alignment horizontal="center" vertical="center"/>
    </xf>
    <xf numFmtId="1" fontId="18" fillId="2" borderId="26" xfId="0" applyNumberFormat="1" applyFont="1" applyFill="1" applyBorder="1" applyAlignment="1">
      <alignment horizontal="center" vertical="center"/>
    </xf>
    <xf numFmtId="1" fontId="18" fillId="2" borderId="27" xfId="0" applyNumberFormat="1" applyFont="1" applyFill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26" xfId="0" applyNumberFormat="1" applyFont="1" applyFill="1" applyBorder="1" applyAlignment="1">
      <alignment horizontal="center" vertical="center" wrapText="1"/>
    </xf>
    <xf numFmtId="1" fontId="18" fillId="2" borderId="27" xfId="0" applyNumberFormat="1" applyFont="1" applyFill="1" applyBorder="1" applyAlignment="1">
      <alignment horizontal="center" vertical="center" wrapText="1"/>
    </xf>
    <xf numFmtId="1" fontId="18" fillId="2" borderId="30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/>
    </xf>
    <xf numFmtId="4" fontId="9" fillId="0" borderId="1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center" vertical="center"/>
    </xf>
    <xf numFmtId="2" fontId="9" fillId="0" borderId="19" xfId="0" applyNumberFormat="1" applyFont="1" applyFill="1" applyBorder="1" applyAlignment="1">
      <alignment horizontal="center" vertical="center"/>
    </xf>
    <xf numFmtId="10" fontId="9" fillId="0" borderId="21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0" fontId="10" fillId="0" borderId="18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80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10" fontId="9" fillId="0" borderId="46" xfId="0" applyNumberFormat="1" applyFont="1" applyFill="1" applyBorder="1" applyAlignment="1">
      <alignment horizontal="center" vertical="center" wrapText="1"/>
    </xf>
    <xf numFmtId="10" fontId="9" fillId="0" borderId="9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86" xfId="0" applyNumberFormat="1" applyFont="1" applyFill="1" applyBorder="1" applyAlignment="1">
      <alignment horizontal="center" vertical="center"/>
    </xf>
    <xf numFmtId="4" fontId="9" fillId="0" borderId="19" xfId="0" applyNumberFormat="1" applyFont="1" applyFill="1" applyBorder="1" applyAlignment="1">
      <alignment horizontal="center" vertical="center"/>
    </xf>
    <xf numFmtId="10" fontId="3" fillId="2" borderId="62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 wrapText="1"/>
    </xf>
    <xf numFmtId="10" fontId="3" fillId="2" borderId="94" xfId="0" applyNumberFormat="1" applyFont="1" applyFill="1" applyBorder="1" applyAlignment="1">
      <alignment horizontal="center" vertical="center" wrapText="1"/>
    </xf>
    <xf numFmtId="10" fontId="3" fillId="2" borderId="63" xfId="0" applyNumberFormat="1" applyFont="1" applyFill="1" applyBorder="1" applyAlignment="1">
      <alignment horizontal="center" vertical="center" wrapText="1"/>
    </xf>
    <xf numFmtId="4" fontId="3" fillId="2" borderId="95" xfId="0" applyNumberFormat="1" applyFont="1" applyFill="1" applyBorder="1" applyAlignment="1">
      <alignment horizontal="center" vertical="center"/>
    </xf>
    <xf numFmtId="4" fontId="3" fillId="2" borderId="96" xfId="0" applyNumberFormat="1" applyFont="1" applyFill="1" applyBorder="1" applyAlignment="1">
      <alignment horizontal="center" vertical="center"/>
    </xf>
    <xf numFmtId="10" fontId="3" fillId="2" borderId="97" xfId="0" applyNumberFormat="1" applyFont="1" applyFill="1" applyBorder="1" applyAlignment="1">
      <alignment horizontal="center" vertical="center"/>
    </xf>
    <xf numFmtId="4" fontId="3" fillId="2" borderId="98" xfId="0" applyNumberFormat="1" applyFont="1" applyFill="1" applyBorder="1" applyAlignment="1">
      <alignment horizontal="center" vertical="center"/>
    </xf>
    <xf numFmtId="10" fontId="3" fillId="2" borderId="99" xfId="0" applyNumberFormat="1" applyFont="1" applyFill="1" applyBorder="1" applyAlignment="1">
      <alignment horizontal="center" vertical="center"/>
    </xf>
    <xf numFmtId="4" fontId="3" fillId="2" borderId="100" xfId="0" applyNumberFormat="1" applyFont="1" applyFill="1" applyBorder="1" applyAlignment="1">
      <alignment horizontal="center" vertical="center"/>
    </xf>
    <xf numFmtId="4" fontId="3" fillId="2" borderId="101" xfId="0" applyNumberFormat="1" applyFont="1" applyFill="1" applyBorder="1" applyAlignment="1">
      <alignment horizontal="center" vertical="center"/>
    </xf>
    <xf numFmtId="4" fontId="3" fillId="2" borderId="102" xfId="0" applyNumberFormat="1" applyFont="1" applyFill="1" applyBorder="1" applyAlignment="1">
      <alignment horizontal="center" vertical="center"/>
    </xf>
    <xf numFmtId="4" fontId="3" fillId="2" borderId="103" xfId="0" applyNumberFormat="1" applyFont="1" applyFill="1" applyBorder="1" applyAlignment="1">
      <alignment horizontal="center" vertical="center"/>
    </xf>
    <xf numFmtId="10" fontId="3" fillId="2" borderId="104" xfId="0" applyNumberFormat="1" applyFont="1" applyFill="1" applyBorder="1" applyAlignment="1">
      <alignment horizontal="center" vertical="center"/>
    </xf>
    <xf numFmtId="4" fontId="3" fillId="2" borderId="105" xfId="0" applyNumberFormat="1" applyFont="1" applyFill="1" applyBorder="1" applyAlignment="1">
      <alignment horizontal="center" vertical="center"/>
    </xf>
    <xf numFmtId="10" fontId="3" fillId="2" borderId="106" xfId="0" applyNumberFormat="1" applyFont="1" applyFill="1" applyBorder="1" applyAlignment="1">
      <alignment horizontal="center" vertical="center"/>
    </xf>
    <xf numFmtId="10" fontId="3" fillId="2" borderId="107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/>
    </xf>
    <xf numFmtId="4" fontId="3" fillId="2" borderId="82" xfId="0" applyNumberFormat="1" applyFont="1" applyFill="1" applyBorder="1" applyAlignment="1">
      <alignment horizontal="center"/>
    </xf>
    <xf numFmtId="1" fontId="18" fillId="2" borderId="24" xfId="0" applyNumberFormat="1" applyFont="1" applyFill="1" applyBorder="1" applyAlignment="1">
      <alignment horizontal="left" vertical="center"/>
    </xf>
    <xf numFmtId="1" fontId="18" fillId="2" borderId="80" xfId="0" applyNumberFormat="1" applyFont="1" applyFill="1" applyBorder="1" applyAlignment="1">
      <alignment horizontal="left" vertical="center"/>
    </xf>
    <xf numFmtId="1" fontId="18" fillId="2" borderId="82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</cellXfs>
  <cellStyles count="3">
    <cellStyle name="Normal" xfId="0" builtinId="0"/>
    <cellStyle name="Normal_ORÇAMENTO" xfId="2" xr:uid="{2CDC9E37-00DB-4430-A18C-6E6629885F56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19050</xdr:rowOff>
        </xdr:from>
        <xdr:to>
          <xdr:col>1</xdr:col>
          <xdr:colOff>85725</xdr:colOff>
          <xdr:row>5</xdr:row>
          <xdr:rowOff>180975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171450</xdr:colOff>
      <xdr:row>28</xdr:row>
      <xdr:rowOff>9526</xdr:rowOff>
    </xdr:from>
    <xdr:to>
      <xdr:col>19</xdr:col>
      <xdr:colOff>342900</xdr:colOff>
      <xdr:row>46</xdr:row>
      <xdr:rowOff>7317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5610226"/>
          <a:ext cx="3914775" cy="346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28575</xdr:rowOff>
        </xdr:from>
        <xdr:to>
          <xdr:col>1</xdr:col>
          <xdr:colOff>200025</xdr:colOff>
          <xdr:row>3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9"/>
  <sheetViews>
    <sheetView tabSelected="1" view="pageBreakPreview" topLeftCell="A7" zoomScale="110" zoomScaleNormal="90" zoomScaleSheetLayoutView="110" workbookViewId="0">
      <selection activeCell="D17" sqref="D17"/>
    </sheetView>
  </sheetViews>
  <sheetFormatPr defaultRowHeight="14.25" x14ac:dyDescent="0.2"/>
  <cols>
    <col min="1" max="1" width="17.42578125" style="18" customWidth="1"/>
    <col min="2" max="2" width="72.42578125" style="27" customWidth="1"/>
    <col min="3" max="3" width="8" style="27" customWidth="1"/>
    <col min="4" max="4" width="9.140625" style="27" bestFit="1" customWidth="1"/>
    <col min="5" max="5" width="11.85546875" style="27" customWidth="1"/>
    <col min="6" max="6" width="14" style="27" customWidth="1"/>
    <col min="7" max="7" width="11.28515625" style="27" bestFit="1" customWidth="1"/>
    <col min="8" max="8" width="10.5703125" style="27" customWidth="1"/>
    <col min="9" max="9" width="13" style="27" customWidth="1"/>
    <col min="10" max="10" width="9.5703125" style="27" bestFit="1" customWidth="1"/>
    <col min="11" max="11" width="9.140625" style="18"/>
    <col min="12" max="12" width="13.28515625" style="18" bestFit="1" customWidth="1"/>
    <col min="13" max="15" width="13.28515625" style="18" customWidth="1"/>
    <col min="16" max="16" width="9.140625" style="18"/>
    <col min="17" max="17" width="13.28515625" style="18" bestFit="1" customWidth="1"/>
    <col min="18" max="18" width="19" style="18" bestFit="1" customWidth="1"/>
    <col min="19" max="19" width="20.140625" style="18" bestFit="1" customWidth="1"/>
    <col min="20" max="16384" width="9.140625" style="18"/>
  </cols>
  <sheetData>
    <row r="1" spans="1:10" ht="20.25" x14ac:dyDescent="0.2">
      <c r="A1" s="359" t="s">
        <v>4</v>
      </c>
      <c r="B1" s="360"/>
      <c r="C1" s="360"/>
      <c r="D1" s="360"/>
      <c r="E1" s="360"/>
      <c r="F1" s="360"/>
      <c r="G1" s="360"/>
      <c r="H1" s="360"/>
      <c r="I1" s="360"/>
      <c r="J1" s="361"/>
    </row>
    <row r="2" spans="1:10" ht="15.75" x14ac:dyDescent="0.2">
      <c r="A2" s="371" t="s">
        <v>9</v>
      </c>
      <c r="B2" s="372"/>
      <c r="C2" s="372"/>
      <c r="D2" s="372"/>
      <c r="E2" s="372"/>
      <c r="F2" s="372"/>
      <c r="G2" s="372"/>
      <c r="H2" s="372"/>
      <c r="I2" s="372"/>
      <c r="J2" s="373"/>
    </row>
    <row r="3" spans="1:10" ht="15" x14ac:dyDescent="0.2">
      <c r="A3" s="368" t="s">
        <v>7</v>
      </c>
      <c r="B3" s="369"/>
      <c r="C3" s="369"/>
      <c r="D3" s="369"/>
      <c r="E3" s="369"/>
      <c r="F3" s="369"/>
      <c r="G3" s="369"/>
      <c r="H3" s="369"/>
      <c r="I3" s="369"/>
      <c r="J3" s="370"/>
    </row>
    <row r="4" spans="1:10" ht="15" x14ac:dyDescent="0.2">
      <c r="A4" s="1"/>
      <c r="B4" s="17"/>
      <c r="C4" s="17"/>
      <c r="D4" s="17"/>
      <c r="E4" s="17"/>
      <c r="F4" s="2"/>
      <c r="G4" s="2"/>
      <c r="H4" s="2"/>
      <c r="I4" s="2"/>
      <c r="J4" s="13"/>
    </row>
    <row r="5" spans="1:10" ht="20.25" x14ac:dyDescent="0.3">
      <c r="A5" s="362" t="s">
        <v>2</v>
      </c>
      <c r="B5" s="363"/>
      <c r="C5" s="363"/>
      <c r="D5" s="363"/>
      <c r="E5" s="363"/>
      <c r="F5" s="363"/>
      <c r="G5" s="363"/>
      <c r="H5" s="363"/>
      <c r="I5" s="363"/>
      <c r="J5" s="364"/>
    </row>
    <row r="6" spans="1:10" ht="20.25" x14ac:dyDescent="0.2">
      <c r="A6" s="3"/>
      <c r="B6" s="4"/>
      <c r="C6" s="4"/>
      <c r="D6" s="4"/>
      <c r="E6" s="4"/>
      <c r="F6" s="5"/>
      <c r="G6" s="5"/>
      <c r="H6" s="5"/>
      <c r="I6" s="5"/>
      <c r="J6" s="14"/>
    </row>
    <row r="7" spans="1:10" ht="15.75" x14ac:dyDescent="0.2">
      <c r="A7" s="6" t="s">
        <v>431</v>
      </c>
      <c r="B7" s="7"/>
      <c r="C7" s="7"/>
      <c r="D7" s="7"/>
      <c r="E7" s="8"/>
      <c r="F7" s="9"/>
      <c r="G7" s="9"/>
      <c r="H7" s="9"/>
      <c r="I7" s="9"/>
      <c r="J7" s="15"/>
    </row>
    <row r="8" spans="1:10" ht="15.75" x14ac:dyDescent="0.2">
      <c r="A8" s="6" t="s">
        <v>430</v>
      </c>
      <c r="B8" s="7"/>
      <c r="C8" s="7"/>
      <c r="D8" s="7"/>
      <c r="E8" s="10"/>
      <c r="F8" s="9"/>
      <c r="G8" s="9"/>
      <c r="H8" s="9"/>
      <c r="I8" s="9"/>
      <c r="J8" s="15"/>
    </row>
    <row r="9" spans="1:10" ht="15.75" x14ac:dyDescent="0.2">
      <c r="A9" s="11" t="s">
        <v>429</v>
      </c>
      <c r="B9" s="7"/>
      <c r="C9" s="7"/>
      <c r="D9" s="7"/>
      <c r="E9" s="7"/>
      <c r="F9" s="12"/>
      <c r="G9" s="12"/>
      <c r="H9" s="12"/>
      <c r="I9" s="12"/>
      <c r="J9" s="16"/>
    </row>
    <row r="10" spans="1:10" ht="15.75" x14ac:dyDescent="0.2">
      <c r="A10" s="11" t="s">
        <v>119</v>
      </c>
      <c r="B10" s="30"/>
      <c r="C10" s="7"/>
      <c r="D10" s="7"/>
      <c r="E10" s="7"/>
      <c r="F10" s="12"/>
      <c r="G10" s="12"/>
      <c r="H10" s="12"/>
      <c r="I10" s="12"/>
      <c r="J10" s="16"/>
    </row>
    <row r="11" spans="1:10" ht="16.5" thickBot="1" x14ac:dyDescent="0.25">
      <c r="A11" s="11" t="s">
        <v>542</v>
      </c>
      <c r="B11" s="7"/>
      <c r="C11" s="7"/>
      <c r="D11" s="7"/>
      <c r="E11" s="7"/>
      <c r="F11" s="12"/>
      <c r="G11" s="12"/>
      <c r="H11" s="12"/>
      <c r="I11" s="12"/>
      <c r="J11" s="16"/>
    </row>
    <row r="12" spans="1:10" ht="15.75" thickBot="1" x14ac:dyDescent="0.25">
      <c r="A12" s="19" t="s">
        <v>16</v>
      </c>
      <c r="B12" s="20" t="s">
        <v>14</v>
      </c>
      <c r="C12" s="21" t="s">
        <v>17</v>
      </c>
      <c r="D12" s="20" t="s">
        <v>0</v>
      </c>
      <c r="E12" s="19" t="s">
        <v>1</v>
      </c>
      <c r="F12" s="20" t="s">
        <v>18</v>
      </c>
      <c r="G12" s="21" t="s">
        <v>19</v>
      </c>
      <c r="H12" s="32" t="s">
        <v>20</v>
      </c>
      <c r="I12" s="32" t="s">
        <v>15</v>
      </c>
      <c r="J12" s="22" t="s">
        <v>6</v>
      </c>
    </row>
    <row r="13" spans="1:10" ht="15.75" thickBot="1" x14ac:dyDescent="0.25">
      <c r="A13" s="294" t="s">
        <v>514</v>
      </c>
      <c r="B13" s="300" t="s">
        <v>547</v>
      </c>
      <c r="C13" s="296"/>
      <c r="D13" s="295"/>
      <c r="E13" s="294"/>
      <c r="F13" s="295"/>
      <c r="G13" s="296"/>
      <c r="H13" s="297"/>
      <c r="I13" s="297"/>
      <c r="J13" s="298"/>
    </row>
    <row r="14" spans="1:10" ht="15" thickBot="1" x14ac:dyDescent="0.25">
      <c r="A14" s="527" t="s">
        <v>22</v>
      </c>
      <c r="B14" s="121" t="s">
        <v>517</v>
      </c>
      <c r="C14" s="301"/>
      <c r="D14" s="198"/>
      <c r="E14" s="193"/>
      <c r="F14" s="198"/>
      <c r="G14" s="301"/>
      <c r="H14" s="302"/>
      <c r="I14" s="302"/>
      <c r="J14" s="303"/>
    </row>
    <row r="15" spans="1:10" ht="15" thickBot="1" x14ac:dyDescent="0.25">
      <c r="A15" s="482"/>
      <c r="B15" s="472" t="s">
        <v>551</v>
      </c>
      <c r="C15" s="473"/>
      <c r="D15" s="476"/>
      <c r="E15" s="477"/>
      <c r="F15" s="476"/>
      <c r="G15" s="478"/>
      <c r="H15" s="479"/>
      <c r="I15" s="474"/>
      <c r="J15" s="475"/>
    </row>
    <row r="16" spans="1:10" x14ac:dyDescent="0.2">
      <c r="A16" s="483" t="s">
        <v>549</v>
      </c>
      <c r="B16" s="484" t="s">
        <v>548</v>
      </c>
      <c r="C16" s="485" t="s">
        <v>229</v>
      </c>
      <c r="D16" s="486">
        <v>80</v>
      </c>
      <c r="E16" s="487">
        <v>126.9</v>
      </c>
      <c r="F16" s="504">
        <f>D16*E16</f>
        <v>10152</v>
      </c>
      <c r="G16" s="481">
        <v>0</v>
      </c>
      <c r="H16" s="488">
        <v>0.25109999999999999</v>
      </c>
      <c r="I16" s="481">
        <f>ROUND(F16*1.2511,2)</f>
        <v>12701.17</v>
      </c>
      <c r="J16" s="480">
        <f>I16/I272</f>
        <v>7.93714812692373E-3</v>
      </c>
    </row>
    <row r="17" spans="1:19" x14ac:dyDescent="0.2">
      <c r="A17" s="493" t="s">
        <v>553</v>
      </c>
      <c r="B17" s="495" t="s">
        <v>552</v>
      </c>
      <c r="C17" s="496" t="s">
        <v>541</v>
      </c>
      <c r="D17" s="497">
        <v>10</v>
      </c>
      <c r="E17" s="494">
        <v>6796.84</v>
      </c>
      <c r="F17" s="503">
        <f>D17*E17</f>
        <v>67968.399999999994</v>
      </c>
      <c r="G17" s="500">
        <v>0</v>
      </c>
      <c r="H17" s="498">
        <v>0.25109999999999999</v>
      </c>
      <c r="I17" s="502">
        <f>ROUND(F17*1.2511,2)</f>
        <v>85035.27</v>
      </c>
      <c r="J17" s="499">
        <f>I17/I272</f>
        <v>5.3139792161112219E-2</v>
      </c>
    </row>
    <row r="18" spans="1:19" ht="15.75" thickBot="1" x14ac:dyDescent="0.25">
      <c r="A18" s="482"/>
      <c r="B18" s="501" t="s">
        <v>550</v>
      </c>
      <c r="C18" s="489"/>
      <c r="D18" s="50"/>
      <c r="E18" s="50"/>
      <c r="F18" s="50"/>
      <c r="G18" s="324"/>
      <c r="H18" s="490"/>
      <c r="I18" s="491">
        <f>SUM(I16:I17)</f>
        <v>97736.44</v>
      </c>
      <c r="J18" s="492">
        <f>I18/I272</f>
        <v>6.1076940288035952E-2</v>
      </c>
    </row>
    <row r="19" spans="1:19" ht="15" thickBot="1" x14ac:dyDescent="0.25">
      <c r="A19" s="299" t="s">
        <v>22</v>
      </c>
      <c r="B19" s="121" t="s">
        <v>522</v>
      </c>
      <c r="C19" s="301"/>
      <c r="D19" s="198"/>
      <c r="E19" s="193"/>
      <c r="F19" s="354"/>
      <c r="G19" s="355"/>
      <c r="H19" s="356"/>
      <c r="I19" s="356"/>
      <c r="J19" s="303"/>
    </row>
    <row r="20" spans="1:19" ht="28.5" x14ac:dyDescent="0.2">
      <c r="A20" s="304" t="s">
        <v>543</v>
      </c>
      <c r="B20" s="347" t="s">
        <v>544</v>
      </c>
      <c r="C20" s="306" t="s">
        <v>541</v>
      </c>
      <c r="D20" s="346">
        <v>10</v>
      </c>
      <c r="E20" s="348">
        <v>1600</v>
      </c>
      <c r="F20" s="351">
        <f>D20*E20*R20</f>
        <v>11214.455706320001</v>
      </c>
      <c r="G20" s="349">
        <f>D20*E20*S20</f>
        <v>4785.5442936799991</v>
      </c>
      <c r="H20" s="352">
        <v>0.25109999999999999</v>
      </c>
      <c r="I20" s="353">
        <f>ROUND((F20+G20)*1.2511,2)</f>
        <v>20017.599999999999</v>
      </c>
      <c r="J20" s="328">
        <f>I20/I272</f>
        <v>1.2509292950610727E-2</v>
      </c>
      <c r="R20" s="276">
        <v>0.70090348164500005</v>
      </c>
      <c r="S20" s="276">
        <f t="shared" ref="S20:S21" si="0">1-R20</f>
        <v>0.29909651835499995</v>
      </c>
    </row>
    <row r="21" spans="1:19" ht="14.25" customHeight="1" x14ac:dyDescent="0.2">
      <c r="A21" s="307" t="s">
        <v>518</v>
      </c>
      <c r="B21" s="308" t="s">
        <v>523</v>
      </c>
      <c r="C21" s="309" t="s">
        <v>524</v>
      </c>
      <c r="D21" s="345">
        <v>10</v>
      </c>
      <c r="E21" s="340">
        <v>548.54999999999995</v>
      </c>
      <c r="F21" s="47">
        <f t="shared" ref="F21" si="1">D21*E21*R21</f>
        <v>2512.1484184899327</v>
      </c>
      <c r="G21" s="349">
        <f t="shared" ref="G21" si="2">D21*E21*S21</f>
        <v>2973.3515815100673</v>
      </c>
      <c r="H21" s="311">
        <v>0.25109999999999999</v>
      </c>
      <c r="I21" s="350">
        <f t="shared" ref="I21" si="3">ROUND((F21+G21)*1.2511,2)</f>
        <v>6862.91</v>
      </c>
      <c r="J21" s="164">
        <f>I21/I272</f>
        <v>4.2887334987049336E-3</v>
      </c>
      <c r="R21" s="276">
        <v>0.45796161124599999</v>
      </c>
      <c r="S21" s="276">
        <f t="shared" si="0"/>
        <v>0.54203838875400001</v>
      </c>
    </row>
    <row r="22" spans="1:19" ht="15.75" thickBot="1" x14ac:dyDescent="0.25">
      <c r="A22" s="320" t="s">
        <v>530</v>
      </c>
      <c r="B22" s="321" t="s">
        <v>531</v>
      </c>
      <c r="C22" s="322"/>
      <c r="D22" s="323"/>
      <c r="E22" s="323"/>
      <c r="F22" s="323"/>
      <c r="G22" s="324"/>
      <c r="H22" s="325"/>
      <c r="I22" s="326">
        <f>SUM(I20:I21)</f>
        <v>26880.51</v>
      </c>
      <c r="J22" s="327">
        <f>I22/I272</f>
        <v>1.6798026449315662E-2</v>
      </c>
      <c r="R22" s="276"/>
      <c r="S22" s="276"/>
    </row>
    <row r="23" spans="1:19" ht="15" thickBot="1" x14ac:dyDescent="0.25">
      <c r="A23" s="299" t="s">
        <v>23</v>
      </c>
      <c r="B23" s="121" t="s">
        <v>525</v>
      </c>
      <c r="C23" s="301"/>
      <c r="D23" s="198"/>
      <c r="E23" s="193"/>
      <c r="F23" s="198"/>
      <c r="G23" s="301"/>
      <c r="H23" s="310"/>
      <c r="I23" s="302"/>
      <c r="J23" s="303"/>
      <c r="R23" s="276"/>
      <c r="S23" s="276"/>
    </row>
    <row r="24" spans="1:19" x14ac:dyDescent="0.2">
      <c r="A24" s="304" t="s">
        <v>519</v>
      </c>
      <c r="B24" s="305" t="s">
        <v>526</v>
      </c>
      <c r="C24" s="306" t="s">
        <v>8</v>
      </c>
      <c r="D24" s="344">
        <v>1</v>
      </c>
      <c r="E24" s="339">
        <v>2896.46</v>
      </c>
      <c r="F24" s="341">
        <f>D24*E24*R24</f>
        <v>578.35001960177215</v>
      </c>
      <c r="G24" s="342">
        <f>D24*E24*S24</f>
        <v>2318.1099803982279</v>
      </c>
      <c r="H24" s="312">
        <v>0.25109999999999999</v>
      </c>
      <c r="I24" s="343">
        <f>ROUND((F24+G24)*1.2511,2)</f>
        <v>3623.76</v>
      </c>
      <c r="J24" s="328">
        <f>I24/I272</f>
        <v>2.2645409750771889E-3</v>
      </c>
      <c r="R24" s="276">
        <v>0.199674782183</v>
      </c>
      <c r="S24" s="276">
        <f>1-R24</f>
        <v>0.80032521781699995</v>
      </c>
    </row>
    <row r="25" spans="1:19" ht="15.75" thickBot="1" x14ac:dyDescent="0.25">
      <c r="A25" s="320" t="s">
        <v>532</v>
      </c>
      <c r="B25" s="321" t="s">
        <v>533</v>
      </c>
      <c r="C25" s="322"/>
      <c r="D25" s="323"/>
      <c r="E25" s="323"/>
      <c r="F25" s="323"/>
      <c r="G25" s="322"/>
      <c r="H25" s="325"/>
      <c r="I25" s="326">
        <f>SUM(I24)</f>
        <v>3623.76</v>
      </c>
      <c r="J25" s="327">
        <f>I25/I272</f>
        <v>2.2645409750771889E-3</v>
      </c>
      <c r="R25" s="276"/>
      <c r="S25" s="276"/>
    </row>
    <row r="26" spans="1:19" ht="15" thickBot="1" x14ac:dyDescent="0.25">
      <c r="A26" s="299" t="s">
        <v>24</v>
      </c>
      <c r="B26" s="121" t="s">
        <v>527</v>
      </c>
      <c r="C26" s="301"/>
      <c r="D26" s="198"/>
      <c r="E26" s="193"/>
      <c r="F26" s="198"/>
      <c r="G26" s="301"/>
      <c r="H26" s="310"/>
      <c r="I26" s="302"/>
      <c r="J26" s="303"/>
      <c r="R26" s="276"/>
      <c r="S26" s="276"/>
    </row>
    <row r="27" spans="1:19" x14ac:dyDescent="0.2">
      <c r="A27" s="304" t="s">
        <v>520</v>
      </c>
      <c r="B27" s="305" t="s">
        <v>528</v>
      </c>
      <c r="C27" s="306" t="s">
        <v>8</v>
      </c>
      <c r="D27" s="344">
        <v>1</v>
      </c>
      <c r="E27" s="339">
        <v>196.68</v>
      </c>
      <c r="F27" s="341">
        <f>D27*E27</f>
        <v>196.68</v>
      </c>
      <c r="G27" s="342">
        <v>0</v>
      </c>
      <c r="H27" s="319">
        <v>0.25109999999999999</v>
      </c>
      <c r="I27" s="343">
        <f>ROUND(F27*1.2511,2)</f>
        <v>246.07</v>
      </c>
      <c r="J27" s="328">
        <f>I27/I272</f>
        <v>1.5377276578394921E-4</v>
      </c>
      <c r="R27" s="276"/>
      <c r="S27" s="276"/>
    </row>
    <row r="28" spans="1:19" ht="15.75" thickBot="1" x14ac:dyDescent="0.25">
      <c r="A28" s="320" t="s">
        <v>534</v>
      </c>
      <c r="B28" s="321" t="s">
        <v>535</v>
      </c>
      <c r="C28" s="322"/>
      <c r="D28" s="323"/>
      <c r="E28" s="323"/>
      <c r="F28" s="323"/>
      <c r="G28" s="322"/>
      <c r="H28" s="325"/>
      <c r="I28" s="326">
        <f>SUM(I27)</f>
        <v>246.07</v>
      </c>
      <c r="J28" s="327">
        <f>I28/I272</f>
        <v>1.5377276578394921E-4</v>
      </c>
      <c r="R28" s="276"/>
      <c r="S28" s="276"/>
    </row>
    <row r="29" spans="1:19" ht="15" thickBot="1" x14ac:dyDescent="0.25">
      <c r="A29" s="299" t="s">
        <v>25</v>
      </c>
      <c r="B29" s="121" t="s">
        <v>529</v>
      </c>
      <c r="C29" s="301"/>
      <c r="D29" s="198"/>
      <c r="E29" s="193"/>
      <c r="F29" s="198"/>
      <c r="G29" s="301"/>
      <c r="H29" s="310"/>
      <c r="I29" s="302"/>
      <c r="J29" s="303"/>
      <c r="R29" s="276"/>
      <c r="S29" s="276"/>
    </row>
    <row r="30" spans="1:19" x14ac:dyDescent="0.2">
      <c r="A30" s="304" t="s">
        <v>521</v>
      </c>
      <c r="B30" s="305" t="s">
        <v>540</v>
      </c>
      <c r="C30" s="306" t="s">
        <v>21</v>
      </c>
      <c r="D30" s="344">
        <v>4.5</v>
      </c>
      <c r="E30" s="339">
        <v>388.03</v>
      </c>
      <c r="F30" s="341">
        <f>D30*E30*R30</f>
        <v>345.38119076071916</v>
      </c>
      <c r="G30" s="342">
        <f>D30*E30*S30</f>
        <v>1400.7538092392806</v>
      </c>
      <c r="H30" s="310">
        <v>0.25109999999999999</v>
      </c>
      <c r="I30" s="343">
        <f>ROUND((F30+G30)*1.2511,2)</f>
        <v>2184.59</v>
      </c>
      <c r="J30" s="328">
        <f>I30/I272</f>
        <v>1.3651824537893999E-3</v>
      </c>
      <c r="R30" s="276">
        <v>0.197797530409</v>
      </c>
      <c r="S30" s="276">
        <f>1-R30</f>
        <v>0.80220246959099994</v>
      </c>
    </row>
    <row r="31" spans="1:19" ht="15.75" thickBot="1" x14ac:dyDescent="0.25">
      <c r="A31" s="329" t="s">
        <v>536</v>
      </c>
      <c r="B31" s="321" t="s">
        <v>537</v>
      </c>
      <c r="C31" s="322"/>
      <c r="D31" s="323"/>
      <c r="E31" s="323"/>
      <c r="F31" s="323"/>
      <c r="G31" s="322"/>
      <c r="H31" s="325"/>
      <c r="I31" s="326">
        <f>SUM(I30)</f>
        <v>2184.59</v>
      </c>
      <c r="J31" s="327">
        <f>I31/I272</f>
        <v>1.3651824537893999E-3</v>
      </c>
    </row>
    <row r="32" spans="1:19" ht="15.75" thickBot="1" x14ac:dyDescent="0.25">
      <c r="A32" s="330" t="s">
        <v>538</v>
      </c>
      <c r="B32" s="23" t="s">
        <v>539</v>
      </c>
      <c r="C32" s="331"/>
      <c r="D32" s="332"/>
      <c r="E32" s="332"/>
      <c r="F32" s="24"/>
      <c r="G32" s="333"/>
      <c r="H32" s="334"/>
      <c r="I32" s="335">
        <f>I18+I22+I25+I28+I31</f>
        <v>130671.37</v>
      </c>
      <c r="J32" s="336">
        <f>I32/I272</f>
        <v>8.1658462932002143E-2</v>
      </c>
    </row>
    <row r="33" spans="1:19" ht="15.75" thickBot="1" x14ac:dyDescent="0.25">
      <c r="A33" s="313"/>
      <c r="B33" s="318" t="s">
        <v>118</v>
      </c>
      <c r="C33" s="314"/>
      <c r="D33" s="315"/>
      <c r="E33" s="316"/>
      <c r="F33" s="315"/>
      <c r="G33" s="314"/>
      <c r="H33" s="317"/>
      <c r="I33" s="337">
        <f>I32</f>
        <v>130671.37</v>
      </c>
      <c r="J33" s="338">
        <f>I33/I272</f>
        <v>8.1658462932002143E-2</v>
      </c>
    </row>
    <row r="34" spans="1:19" ht="15.75" thickBot="1" x14ac:dyDescent="0.3">
      <c r="A34" s="37" t="s">
        <v>513</v>
      </c>
      <c r="B34" s="23" t="s">
        <v>150</v>
      </c>
      <c r="C34" s="24"/>
      <c r="D34" s="25"/>
      <c r="E34" s="24"/>
      <c r="F34" s="25"/>
      <c r="G34" s="24"/>
      <c r="H34" s="26"/>
      <c r="I34" s="26"/>
      <c r="J34" s="26"/>
    </row>
    <row r="35" spans="1:19" ht="15" x14ac:dyDescent="0.2">
      <c r="A35" s="119" t="s">
        <v>23</v>
      </c>
      <c r="B35" s="121" t="s">
        <v>26</v>
      </c>
      <c r="C35" s="122"/>
      <c r="D35" s="128"/>
      <c r="E35" s="122"/>
      <c r="F35" s="124"/>
      <c r="G35" s="122"/>
      <c r="H35" s="125"/>
      <c r="I35" s="125"/>
      <c r="J35" s="125"/>
    </row>
    <row r="36" spans="1:19" ht="15" x14ac:dyDescent="0.2">
      <c r="A36" s="120" t="s">
        <v>22</v>
      </c>
      <c r="B36" s="159" t="s">
        <v>151</v>
      </c>
      <c r="C36" s="123"/>
      <c r="D36" s="126"/>
      <c r="E36" s="123"/>
      <c r="F36" s="126"/>
      <c r="G36" s="123"/>
      <c r="H36" s="127"/>
      <c r="I36" s="127"/>
      <c r="J36" s="127"/>
      <c r="N36" s="18" t="s">
        <v>437</v>
      </c>
      <c r="O36" s="18" t="s">
        <v>19</v>
      </c>
      <c r="R36" s="18" t="s">
        <v>437</v>
      </c>
      <c r="S36" s="18" t="s">
        <v>19</v>
      </c>
    </row>
    <row r="37" spans="1:19" ht="28.5" x14ac:dyDescent="0.2">
      <c r="A37" s="160" t="s">
        <v>152</v>
      </c>
      <c r="B37" s="161" t="s">
        <v>153</v>
      </c>
      <c r="C37" s="162" t="s">
        <v>31</v>
      </c>
      <c r="D37" s="163">
        <f>7571*K37</f>
        <v>779.82788261724238</v>
      </c>
      <c r="E37" s="46">
        <v>10.029999999999999</v>
      </c>
      <c r="F37" s="163">
        <f>D37*E37*R37</f>
        <v>7821.673662650941</v>
      </c>
      <c r="G37" s="131">
        <f>D37*E37*S37</f>
        <v>0</v>
      </c>
      <c r="H37" s="164">
        <v>0.25109999999999999</v>
      </c>
      <c r="I37" s="165">
        <f>ROUND((F37+G37)*1.2511,2)</f>
        <v>9785.7000000000007</v>
      </c>
      <c r="J37" s="166">
        <f>I37/I272</f>
        <v>6.115228000698956E-3</v>
      </c>
      <c r="K37" s="287">
        <f>733.58/7122</f>
        <v>0.10300196573996069</v>
      </c>
      <c r="N37" s="170">
        <v>7357.8073999999997</v>
      </c>
      <c r="O37" s="130">
        <v>0</v>
      </c>
      <c r="Q37" s="18">
        <f>N37+O37</f>
        <v>7357.8073999999997</v>
      </c>
      <c r="R37" s="276">
        <f>N37/Q37</f>
        <v>1</v>
      </c>
      <c r="S37" s="276">
        <f>O37/Q37</f>
        <v>0</v>
      </c>
    </row>
    <row r="38" spans="1:19" ht="15" thickBot="1" x14ac:dyDescent="0.25">
      <c r="A38" s="167" t="s">
        <v>154</v>
      </c>
      <c r="B38" s="168" t="s">
        <v>155</v>
      </c>
      <c r="C38" s="169" t="s">
        <v>31</v>
      </c>
      <c r="D38" s="170">
        <v>7459</v>
      </c>
      <c r="E38" s="131">
        <v>1.29</v>
      </c>
      <c r="F38" s="170">
        <f>D38*E38*R38</f>
        <v>8465.9650000000001</v>
      </c>
      <c r="G38" s="131">
        <f>D38*E38*S38</f>
        <v>1156.1450000000002</v>
      </c>
      <c r="H38" s="171">
        <v>0.25109999999999999</v>
      </c>
      <c r="I38" s="172">
        <f>ROUND((F38+G38)*1.2511,2)</f>
        <v>12038.22</v>
      </c>
      <c r="J38" s="173">
        <f>I38/I272</f>
        <v>7.5228609115928517E-3</v>
      </c>
      <c r="N38" s="170">
        <v>7956.5316000000003</v>
      </c>
      <c r="O38" s="130">
        <v>1086.5748000000001</v>
      </c>
      <c r="Q38" s="18">
        <f t="shared" ref="Q38:Q100" si="4">N38+O38</f>
        <v>9043.1064000000006</v>
      </c>
      <c r="R38" s="276">
        <f t="shared" ref="R38:R100" si="5">N38/Q38</f>
        <v>0.87984496124031009</v>
      </c>
      <c r="S38" s="276">
        <f t="shared" ref="S38:S100" si="6">O38/Q38</f>
        <v>0.12015503875968993</v>
      </c>
    </row>
    <row r="39" spans="1:19" ht="15.75" thickBot="1" x14ac:dyDescent="0.25">
      <c r="A39" s="174" t="s">
        <v>512</v>
      </c>
      <c r="B39" s="175" t="s">
        <v>156</v>
      </c>
      <c r="C39" s="176"/>
      <c r="D39" s="48"/>
      <c r="E39" s="48"/>
      <c r="F39" s="177"/>
      <c r="G39" s="48"/>
      <c r="H39" s="178"/>
      <c r="I39" s="134">
        <f>SUM(I37:I38)</f>
        <v>21823.919999999998</v>
      </c>
      <c r="J39" s="179">
        <f>I39/I272</f>
        <v>1.3638088912291806E-2</v>
      </c>
      <c r="L39" s="129">
        <f>F37+F38+G38</f>
        <v>17443.783662650942</v>
      </c>
      <c r="M39" s="129"/>
      <c r="N39" s="170"/>
      <c r="O39" s="130"/>
      <c r="R39" s="276"/>
      <c r="S39" s="276"/>
    </row>
    <row r="40" spans="1:19" x14ac:dyDescent="0.2">
      <c r="A40" s="160" t="s">
        <v>27</v>
      </c>
      <c r="B40" s="168" t="s">
        <v>28</v>
      </c>
      <c r="C40" s="169"/>
      <c r="D40" s="47"/>
      <c r="E40" s="131"/>
      <c r="F40" s="163"/>
      <c r="G40" s="46"/>
      <c r="H40" s="164">
        <v>0.25109999999999999</v>
      </c>
      <c r="I40" s="165"/>
      <c r="J40" s="166">
        <f>I40/I272</f>
        <v>0</v>
      </c>
      <c r="N40" s="170"/>
      <c r="O40" s="130"/>
      <c r="R40" s="276"/>
      <c r="S40" s="276"/>
    </row>
    <row r="41" spans="1:19" ht="15" thickBot="1" x14ac:dyDescent="0.25">
      <c r="A41" s="167" t="s">
        <v>29</v>
      </c>
      <c r="B41" s="180" t="s">
        <v>30</v>
      </c>
      <c r="C41" s="181" t="s">
        <v>31</v>
      </c>
      <c r="D41" s="170">
        <v>7459</v>
      </c>
      <c r="E41" s="182">
        <v>0.54</v>
      </c>
      <c r="F41" s="170">
        <f>D41*E41*R41</f>
        <v>4027.86</v>
      </c>
      <c r="G41" s="131">
        <f>D41*E41*S41</f>
        <v>0</v>
      </c>
      <c r="H41" s="171">
        <v>0.25109999999999999</v>
      </c>
      <c r="I41" s="172">
        <f t="shared" ref="I41" si="7">ROUND((F41+G41)*1.2511,2)</f>
        <v>5039.26</v>
      </c>
      <c r="J41" s="173">
        <f>I41/I272</f>
        <v>3.1491077648816354E-3</v>
      </c>
      <c r="N41" s="170">
        <v>3785.4863999999998</v>
      </c>
      <c r="O41" s="130">
        <v>0</v>
      </c>
      <c r="Q41" s="18">
        <f t="shared" si="4"/>
        <v>3785.4863999999998</v>
      </c>
      <c r="R41" s="276">
        <f t="shared" si="5"/>
        <v>1</v>
      </c>
      <c r="S41" s="276">
        <f t="shared" si="6"/>
        <v>0</v>
      </c>
    </row>
    <row r="42" spans="1:19" ht="15.75" thickBot="1" x14ac:dyDescent="0.25">
      <c r="A42" s="174" t="s">
        <v>511</v>
      </c>
      <c r="B42" s="175" t="s">
        <v>157</v>
      </c>
      <c r="C42" s="176"/>
      <c r="D42" s="48"/>
      <c r="E42" s="48"/>
      <c r="F42" s="177"/>
      <c r="G42" s="48"/>
      <c r="H42" s="178">
        <v>0.25109999999999999</v>
      </c>
      <c r="I42" s="134">
        <f>I41</f>
        <v>5039.26</v>
      </c>
      <c r="J42" s="179">
        <f>I42/I272</f>
        <v>3.1491077648816354E-3</v>
      </c>
      <c r="L42" s="129">
        <f>F41</f>
        <v>4027.86</v>
      </c>
      <c r="M42" s="129"/>
      <c r="N42" s="170"/>
      <c r="O42" s="130"/>
      <c r="R42" s="276"/>
      <c r="S42" s="276"/>
    </row>
    <row r="43" spans="1:19" ht="15.75" thickBot="1" x14ac:dyDescent="0.3">
      <c r="A43" s="183" t="s">
        <v>510</v>
      </c>
      <c r="B43" s="184" t="s">
        <v>158</v>
      </c>
      <c r="C43" s="151"/>
      <c r="D43" s="185"/>
      <c r="E43" s="186"/>
      <c r="F43" s="187"/>
      <c r="G43" s="35"/>
      <c r="H43" s="36"/>
      <c r="I43" s="38">
        <f>I39+I42</f>
        <v>26863.18</v>
      </c>
      <c r="J43" s="188">
        <f>I43/I272</f>
        <v>1.6787196677173443E-2</v>
      </c>
      <c r="L43" s="140">
        <f>L39+L42</f>
        <v>21471.643662650942</v>
      </c>
      <c r="M43" s="277"/>
      <c r="N43" s="187"/>
      <c r="O43" s="286"/>
      <c r="R43" s="276"/>
      <c r="S43" s="276"/>
    </row>
    <row r="44" spans="1:19" ht="15.75" thickBot="1" x14ac:dyDescent="0.25">
      <c r="A44" s="189" t="s">
        <v>24</v>
      </c>
      <c r="B44" s="41" t="s">
        <v>32</v>
      </c>
      <c r="C44" s="34"/>
      <c r="D44" s="152"/>
      <c r="E44" s="33"/>
      <c r="F44" s="39"/>
      <c r="G44" s="40"/>
      <c r="H44" s="190"/>
      <c r="I44" s="190"/>
      <c r="J44" s="191"/>
      <c r="N44" s="281"/>
      <c r="O44" s="281"/>
      <c r="R44" s="276"/>
      <c r="S44" s="276"/>
    </row>
    <row r="45" spans="1:19" ht="15.75" thickBot="1" x14ac:dyDescent="0.25">
      <c r="A45" s="119" t="s">
        <v>22</v>
      </c>
      <c r="B45" s="192" t="s">
        <v>33</v>
      </c>
      <c r="C45" s="193"/>
      <c r="D45" s="20"/>
      <c r="E45" s="19"/>
      <c r="F45" s="194"/>
      <c r="G45" s="195"/>
      <c r="H45" s="196"/>
      <c r="I45" s="196"/>
      <c r="J45" s="197"/>
      <c r="N45" s="281"/>
      <c r="O45" s="281"/>
      <c r="R45" s="276"/>
      <c r="S45" s="276"/>
    </row>
    <row r="46" spans="1:19" ht="15" thickBot="1" x14ac:dyDescent="0.25">
      <c r="A46" s="119" t="s">
        <v>34</v>
      </c>
      <c r="B46" s="192" t="s">
        <v>35</v>
      </c>
      <c r="C46" s="193" t="s">
        <v>36</v>
      </c>
      <c r="D46" s="198">
        <v>21.91</v>
      </c>
      <c r="E46" s="193">
        <v>140.91</v>
      </c>
      <c r="F46" s="194">
        <f>D46*E46*R46</f>
        <v>3087.3380999999999</v>
      </c>
      <c r="G46" s="195">
        <f t="shared" ref="G46:G47" si="8">D46*E46*S46</f>
        <v>0</v>
      </c>
      <c r="H46" s="199">
        <v>0.25109999999999999</v>
      </c>
      <c r="I46" s="200">
        <f t="shared" ref="I46:I48" si="9">ROUND((F46+G46)*1.2511,2)</f>
        <v>3862.57</v>
      </c>
      <c r="J46" s="201">
        <f>I46/I272</f>
        <v>2.4137768599752458E-3</v>
      </c>
      <c r="L46" s="132"/>
      <c r="M46" s="132"/>
      <c r="N46" s="281">
        <v>3087.3380999999999</v>
      </c>
      <c r="O46" s="281">
        <v>0</v>
      </c>
      <c r="Q46" s="18">
        <f t="shared" si="4"/>
        <v>3087.3380999999999</v>
      </c>
      <c r="R46" s="276">
        <f t="shared" si="5"/>
        <v>1</v>
      </c>
      <c r="S46" s="276">
        <f t="shared" si="6"/>
        <v>0</v>
      </c>
    </row>
    <row r="47" spans="1:19" ht="15" thickBot="1" x14ac:dyDescent="0.25">
      <c r="A47" s="119" t="s">
        <v>159</v>
      </c>
      <c r="B47" s="192" t="s">
        <v>161</v>
      </c>
      <c r="C47" s="193" t="s">
        <v>31</v>
      </c>
      <c r="D47" s="194">
        <v>3</v>
      </c>
      <c r="E47" s="193">
        <v>77.09</v>
      </c>
      <c r="F47" s="194">
        <f t="shared" ref="F47:F48" si="10">D47*E47*R47</f>
        <v>231.27</v>
      </c>
      <c r="G47" s="195">
        <f t="shared" si="8"/>
        <v>0</v>
      </c>
      <c r="H47" s="199">
        <v>0.25109999999999999</v>
      </c>
      <c r="I47" s="200">
        <f t="shared" si="9"/>
        <v>289.33999999999997</v>
      </c>
      <c r="J47" s="201">
        <f>I47/I272</f>
        <v>1.808128258297552E-4</v>
      </c>
      <c r="N47" s="281">
        <v>231.27</v>
      </c>
      <c r="O47" s="281">
        <v>0</v>
      </c>
      <c r="Q47" s="18">
        <f t="shared" si="4"/>
        <v>231.27</v>
      </c>
      <c r="R47" s="276">
        <f t="shared" si="5"/>
        <v>1</v>
      </c>
      <c r="S47" s="276">
        <f t="shared" si="6"/>
        <v>0</v>
      </c>
    </row>
    <row r="48" spans="1:19" ht="15" thickBot="1" x14ac:dyDescent="0.25">
      <c r="A48" s="119" t="s">
        <v>160</v>
      </c>
      <c r="B48" s="192" t="s">
        <v>162</v>
      </c>
      <c r="C48" s="193" t="s">
        <v>31</v>
      </c>
      <c r="D48" s="194">
        <v>3</v>
      </c>
      <c r="E48" s="193">
        <v>103.37</v>
      </c>
      <c r="F48" s="194">
        <f t="shared" si="10"/>
        <v>310.11</v>
      </c>
      <c r="G48" s="195">
        <f>D48*E48*S48</f>
        <v>0</v>
      </c>
      <c r="H48" s="199">
        <v>0.25109999999999999</v>
      </c>
      <c r="I48" s="202">
        <f t="shared" si="9"/>
        <v>387.98</v>
      </c>
      <c r="J48" s="201">
        <f>I48/I272</f>
        <v>2.4245441406452076E-4</v>
      </c>
      <c r="N48" s="281">
        <v>310.11</v>
      </c>
      <c r="O48" s="281">
        <v>0</v>
      </c>
      <c r="Q48" s="18">
        <f t="shared" si="4"/>
        <v>310.11</v>
      </c>
      <c r="R48" s="276">
        <f t="shared" si="5"/>
        <v>1</v>
      </c>
      <c r="S48" s="276">
        <f t="shared" si="6"/>
        <v>0</v>
      </c>
    </row>
    <row r="49" spans="1:19" ht="15.75" thickBot="1" x14ac:dyDescent="0.3">
      <c r="A49" s="203" t="s">
        <v>509</v>
      </c>
      <c r="B49" s="133" t="s">
        <v>163</v>
      </c>
      <c r="C49" s="44"/>
      <c r="D49" s="44"/>
      <c r="E49" s="44"/>
      <c r="F49" s="39"/>
      <c r="G49" s="39"/>
      <c r="H49" s="178"/>
      <c r="I49" s="134">
        <f>SUM(I46:I48)</f>
        <v>4539.8899999999994</v>
      </c>
      <c r="J49" s="204">
        <f>I49/I272</f>
        <v>2.8370440998695214E-3</v>
      </c>
      <c r="L49" s="132">
        <f>F46+F47+F48</f>
        <v>3628.7181</v>
      </c>
      <c r="M49" s="132"/>
      <c r="N49" s="281"/>
      <c r="O49" s="281"/>
      <c r="R49" s="276"/>
      <c r="S49" s="276"/>
    </row>
    <row r="50" spans="1:19" ht="15" thickBot="1" x14ac:dyDescent="0.25">
      <c r="A50" s="205" t="s">
        <v>47</v>
      </c>
      <c r="B50" s="41" t="s">
        <v>164</v>
      </c>
      <c r="C50" s="44"/>
      <c r="D50" s="44"/>
      <c r="E50" s="44"/>
      <c r="F50" s="39"/>
      <c r="G50" s="39"/>
      <c r="H50" s="178"/>
      <c r="I50" s="48"/>
      <c r="J50" s="204"/>
      <c r="N50" s="281"/>
      <c r="O50" s="281"/>
      <c r="R50" s="276"/>
      <c r="S50" s="276"/>
    </row>
    <row r="51" spans="1:19" x14ac:dyDescent="0.2">
      <c r="A51" s="206" t="s">
        <v>165</v>
      </c>
      <c r="B51" s="290" t="s">
        <v>166</v>
      </c>
      <c r="C51" s="43" t="s">
        <v>21</v>
      </c>
      <c r="D51" s="47">
        <v>5</v>
      </c>
      <c r="E51" s="46">
        <v>8.73</v>
      </c>
      <c r="F51" s="46">
        <f>D51*E51*R51</f>
        <v>43.650000000000006</v>
      </c>
      <c r="G51" s="131">
        <f t="shared" ref="G51:G52" si="11">D51*E51*S51</f>
        <v>0</v>
      </c>
      <c r="H51" s="171">
        <v>0.25109999999999999</v>
      </c>
      <c r="I51" s="165">
        <f>ROUND((F51+G51)*1.2511,2)</f>
        <v>54.61</v>
      </c>
      <c r="J51" s="173">
        <f>I51/I272</f>
        <v>3.412659299980277E-5</v>
      </c>
      <c r="N51" s="130">
        <v>43.65</v>
      </c>
      <c r="O51" s="130">
        <v>0</v>
      </c>
      <c r="Q51" s="18">
        <f t="shared" si="4"/>
        <v>43.65</v>
      </c>
      <c r="R51" s="276">
        <f t="shared" si="5"/>
        <v>1</v>
      </c>
      <c r="S51" s="276">
        <f t="shared" si="6"/>
        <v>0</v>
      </c>
    </row>
    <row r="52" spans="1:19" x14ac:dyDescent="0.2">
      <c r="A52" s="207" t="s">
        <v>167</v>
      </c>
      <c r="B52" s="42" t="s">
        <v>168</v>
      </c>
      <c r="C52" s="45" t="s">
        <v>21</v>
      </c>
      <c r="D52" s="130">
        <v>100</v>
      </c>
      <c r="E52" s="131">
        <v>1.27</v>
      </c>
      <c r="F52" s="46">
        <f t="shared" ref="F52:F53" si="12">D52*E52*R52</f>
        <v>127</v>
      </c>
      <c r="G52" s="131">
        <f t="shared" si="11"/>
        <v>0</v>
      </c>
      <c r="H52" s="171">
        <v>0.25109999999999999</v>
      </c>
      <c r="I52" s="165">
        <f t="shared" ref="I52:I53" si="13">ROUND((F52+G52)*1.2511,2)</f>
        <v>158.88999999999999</v>
      </c>
      <c r="J52" s="173">
        <f>I52/I272</f>
        <v>9.9292700269889422E-5</v>
      </c>
      <c r="N52" s="130">
        <v>127</v>
      </c>
      <c r="O52" s="130">
        <v>0</v>
      </c>
      <c r="Q52" s="18">
        <f t="shared" si="4"/>
        <v>127</v>
      </c>
      <c r="R52" s="276">
        <f t="shared" si="5"/>
        <v>1</v>
      </c>
      <c r="S52" s="276">
        <f t="shared" si="6"/>
        <v>0</v>
      </c>
    </row>
    <row r="53" spans="1:19" ht="15" thickBot="1" x14ac:dyDescent="0.25">
      <c r="A53" s="207" t="s">
        <v>169</v>
      </c>
      <c r="B53" s="42" t="s">
        <v>170</v>
      </c>
      <c r="C53" s="45" t="s">
        <v>8</v>
      </c>
      <c r="D53" s="130">
        <v>5</v>
      </c>
      <c r="E53" s="131">
        <v>21.77</v>
      </c>
      <c r="F53" s="46">
        <f t="shared" si="12"/>
        <v>108.85</v>
      </c>
      <c r="G53" s="131">
        <f>D53*E53*S53</f>
        <v>0</v>
      </c>
      <c r="H53" s="171">
        <v>0.25109999999999999</v>
      </c>
      <c r="I53" s="172">
        <f t="shared" si="13"/>
        <v>136.18</v>
      </c>
      <c r="J53" s="173">
        <f>I53/I272</f>
        <v>8.5100886920218659E-5</v>
      </c>
      <c r="N53" s="130">
        <v>108.85</v>
      </c>
      <c r="O53" s="130">
        <v>0</v>
      </c>
      <c r="Q53" s="18">
        <f t="shared" si="4"/>
        <v>108.85</v>
      </c>
      <c r="R53" s="276">
        <f t="shared" si="5"/>
        <v>1</v>
      </c>
      <c r="S53" s="276">
        <f t="shared" si="6"/>
        <v>0</v>
      </c>
    </row>
    <row r="54" spans="1:19" ht="15.75" thickBot="1" x14ac:dyDescent="0.3">
      <c r="A54" s="203" t="s">
        <v>508</v>
      </c>
      <c r="B54" s="133" t="s">
        <v>171</v>
      </c>
      <c r="C54" s="44"/>
      <c r="D54" s="48"/>
      <c r="E54" s="48"/>
      <c r="F54" s="48"/>
      <c r="G54" s="48"/>
      <c r="H54" s="178"/>
      <c r="I54" s="134">
        <f>SUM(I51:I53)</f>
        <v>349.68</v>
      </c>
      <c r="J54" s="204">
        <f>I54/I272</f>
        <v>2.1852018018991086E-4</v>
      </c>
      <c r="L54" s="129">
        <f>F51+F52+F53</f>
        <v>279.5</v>
      </c>
      <c r="M54" s="129"/>
      <c r="N54" s="130"/>
      <c r="O54" s="130"/>
      <c r="R54" s="276"/>
      <c r="S54" s="276"/>
    </row>
    <row r="55" spans="1:19" x14ac:dyDescent="0.2">
      <c r="A55" s="207" t="s">
        <v>25</v>
      </c>
      <c r="B55" s="42" t="s">
        <v>38</v>
      </c>
      <c r="C55" s="45"/>
      <c r="D55" s="130"/>
      <c r="E55" s="131"/>
      <c r="F55" s="130"/>
      <c r="G55" s="131"/>
      <c r="H55" s="171"/>
      <c r="I55" s="172"/>
      <c r="J55" s="173"/>
      <c r="N55" s="130"/>
      <c r="O55" s="130"/>
      <c r="R55" s="276"/>
      <c r="S55" s="276"/>
    </row>
    <row r="56" spans="1:19" x14ac:dyDescent="0.2">
      <c r="A56" s="207" t="s">
        <v>37</v>
      </c>
      <c r="B56" s="42" t="s">
        <v>172</v>
      </c>
      <c r="C56" s="45" t="s">
        <v>31</v>
      </c>
      <c r="D56" s="170">
        <v>324</v>
      </c>
      <c r="E56" s="131">
        <v>0.35</v>
      </c>
      <c r="F56" s="130">
        <f>D56*E56*R56</f>
        <v>68.039999999999992</v>
      </c>
      <c r="G56" s="131">
        <f>D56*E56*S56</f>
        <v>45.36</v>
      </c>
      <c r="H56" s="171">
        <v>0.25109999999999999</v>
      </c>
      <c r="I56" s="172">
        <f>ROUND((F56+G56)*1.2511,2)</f>
        <v>141.87</v>
      </c>
      <c r="J56" s="173">
        <f>I56/I272</f>
        <v>8.8656651691668538E-5</v>
      </c>
      <c r="N56" s="130">
        <v>64.260000000000005</v>
      </c>
      <c r="O56" s="130">
        <v>42.84</v>
      </c>
      <c r="Q56" s="18">
        <f t="shared" si="4"/>
        <v>107.10000000000001</v>
      </c>
      <c r="R56" s="276">
        <f t="shared" si="5"/>
        <v>0.6</v>
      </c>
      <c r="S56" s="276">
        <f t="shared" si="6"/>
        <v>0.4</v>
      </c>
    </row>
    <row r="57" spans="1:19" ht="15" thickBot="1" x14ac:dyDescent="0.25">
      <c r="A57" s="207" t="s">
        <v>39</v>
      </c>
      <c r="B57" s="42" t="s">
        <v>40</v>
      </c>
      <c r="C57" s="45" t="s">
        <v>31</v>
      </c>
      <c r="D57" s="130">
        <v>5674.1</v>
      </c>
      <c r="E57" s="131">
        <v>1.62</v>
      </c>
      <c r="F57" s="130">
        <f>D57*E57*R57</f>
        <v>8305.8043210000014</v>
      </c>
      <c r="G57" s="131">
        <f>D57*E57*S57</f>
        <v>886.23767900000018</v>
      </c>
      <c r="H57" s="171">
        <v>0.25109999999999999</v>
      </c>
      <c r="I57" s="172">
        <f>ROUND((F57+G57)*1.2511,2)</f>
        <v>11500.16</v>
      </c>
      <c r="J57" s="173">
        <f>I57/I272</f>
        <v>7.1866192959643251E-3</v>
      </c>
      <c r="N57" s="130">
        <v>8305.8043209999996</v>
      </c>
      <c r="O57" s="130">
        <v>886.23767899999996</v>
      </c>
      <c r="Q57" s="18">
        <f t="shared" si="4"/>
        <v>9192.0419999999995</v>
      </c>
      <c r="R57" s="276">
        <f t="shared" si="5"/>
        <v>0.9035864197530864</v>
      </c>
      <c r="S57" s="276">
        <f t="shared" si="6"/>
        <v>9.6413580246913586E-2</v>
      </c>
    </row>
    <row r="58" spans="1:19" ht="15.75" thickBot="1" x14ac:dyDescent="0.3">
      <c r="A58" s="208" t="s">
        <v>507</v>
      </c>
      <c r="B58" s="133" t="s">
        <v>173</v>
      </c>
      <c r="C58" s="33"/>
      <c r="D58" s="134"/>
      <c r="E58" s="135"/>
      <c r="F58" s="134"/>
      <c r="G58" s="135"/>
      <c r="H58" s="209"/>
      <c r="I58" s="210">
        <f>SUM(I56:I57)</f>
        <v>11642.03</v>
      </c>
      <c r="J58" s="179">
        <f>I58/I272</f>
        <v>7.2752759476559939E-3</v>
      </c>
      <c r="L58" s="129">
        <f>F56+F57+G56+G57</f>
        <v>9305.4420000000027</v>
      </c>
      <c r="M58" s="129"/>
      <c r="N58" s="282"/>
      <c r="O58" s="282"/>
      <c r="R58" s="276"/>
      <c r="S58" s="276"/>
    </row>
    <row r="59" spans="1:19" x14ac:dyDescent="0.2">
      <c r="A59" s="207" t="s">
        <v>41</v>
      </c>
      <c r="B59" s="42" t="s">
        <v>42</v>
      </c>
      <c r="C59" s="45"/>
      <c r="D59" s="130"/>
      <c r="E59" s="131"/>
      <c r="F59" s="130"/>
      <c r="G59" s="131"/>
      <c r="H59" s="171"/>
      <c r="I59" s="172"/>
      <c r="J59" s="173"/>
      <c r="N59" s="130"/>
      <c r="O59" s="130"/>
      <c r="R59" s="276"/>
      <c r="S59" s="276"/>
    </row>
    <row r="60" spans="1:19" ht="15" thickBot="1" x14ac:dyDescent="0.25">
      <c r="A60" s="207" t="s">
        <v>43</v>
      </c>
      <c r="B60" s="42" t="s">
        <v>44</v>
      </c>
      <c r="C60" s="45" t="s">
        <v>8</v>
      </c>
      <c r="D60" s="130">
        <v>6</v>
      </c>
      <c r="E60" s="131">
        <v>142.61000000000001</v>
      </c>
      <c r="F60" s="130">
        <f>D60*E60*R60</f>
        <v>376.91640000000001</v>
      </c>
      <c r="G60" s="131">
        <f>D60*E60*S60</f>
        <v>478.74360000000007</v>
      </c>
      <c r="H60" s="171">
        <v>0.25109999999999999</v>
      </c>
      <c r="I60" s="172">
        <f>ROUND((F60+G60)*1.2511,2)</f>
        <v>1070.52</v>
      </c>
      <c r="J60" s="173">
        <f>I60/I272</f>
        <v>6.6898370881063643E-4</v>
      </c>
      <c r="L60" s="129"/>
      <c r="M60" s="129"/>
      <c r="N60" s="130">
        <v>376.91640000000001</v>
      </c>
      <c r="O60" s="130">
        <v>478.74360000000001</v>
      </c>
      <c r="Q60" s="18">
        <f t="shared" si="4"/>
        <v>855.66000000000008</v>
      </c>
      <c r="R60" s="276">
        <f t="shared" si="5"/>
        <v>0.44049786130004903</v>
      </c>
      <c r="S60" s="276">
        <f t="shared" si="6"/>
        <v>0.55950213869995091</v>
      </c>
    </row>
    <row r="61" spans="1:19" ht="15.75" thickBot="1" x14ac:dyDescent="0.3">
      <c r="A61" s="208" t="s">
        <v>506</v>
      </c>
      <c r="B61" s="133" t="s">
        <v>174</v>
      </c>
      <c r="C61" s="34"/>
      <c r="D61" s="48"/>
      <c r="E61" s="49"/>
      <c r="F61" s="48"/>
      <c r="G61" s="49"/>
      <c r="H61" s="211"/>
      <c r="I61" s="210">
        <f>SUM(I60)</f>
        <v>1070.52</v>
      </c>
      <c r="J61" s="179">
        <f>I61/I272</f>
        <v>6.6898370881063643E-4</v>
      </c>
      <c r="L61" s="129">
        <f>F60+G60</f>
        <v>855.66000000000008</v>
      </c>
      <c r="M61" s="129"/>
      <c r="N61" s="130"/>
      <c r="O61" s="130"/>
      <c r="R61" s="276"/>
      <c r="S61" s="276"/>
    </row>
    <row r="62" spans="1:19" x14ac:dyDescent="0.2">
      <c r="A62" s="207" t="s">
        <v>27</v>
      </c>
      <c r="B62" s="42" t="s">
        <v>175</v>
      </c>
      <c r="C62" s="45"/>
      <c r="D62" s="130"/>
      <c r="E62" s="131"/>
      <c r="F62" s="130"/>
      <c r="G62" s="131"/>
      <c r="H62" s="171"/>
      <c r="I62" s="172"/>
      <c r="J62" s="173"/>
      <c r="N62" s="130"/>
      <c r="O62" s="130"/>
      <c r="R62" s="276"/>
      <c r="S62" s="276"/>
    </row>
    <row r="63" spans="1:19" ht="15" thickBot="1" x14ac:dyDescent="0.25">
      <c r="A63" s="207" t="s">
        <v>176</v>
      </c>
      <c r="B63" s="42" t="s">
        <v>177</v>
      </c>
      <c r="C63" s="45" t="s">
        <v>36</v>
      </c>
      <c r="D63" s="130">
        <v>0.4</v>
      </c>
      <c r="E63" s="131">
        <v>149.43</v>
      </c>
      <c r="F63" s="130">
        <f>D63*E63*R63</f>
        <v>59.772000000000006</v>
      </c>
      <c r="G63" s="131">
        <f>D63*E63*S63</f>
        <v>0</v>
      </c>
      <c r="H63" s="171">
        <v>0.25109999999999999</v>
      </c>
      <c r="I63" s="172">
        <f t="shared" ref="I63:I268" si="14">ROUND((F63+G63)*1.2511,2)</f>
        <v>74.78</v>
      </c>
      <c r="J63" s="173">
        <f>I63/I272</f>
        <v>4.6731122954133878E-5</v>
      </c>
      <c r="N63" s="130">
        <v>59.771999999999998</v>
      </c>
      <c r="O63" s="130">
        <v>0</v>
      </c>
      <c r="Q63" s="18">
        <f t="shared" si="4"/>
        <v>59.771999999999998</v>
      </c>
      <c r="R63" s="276">
        <f t="shared" si="5"/>
        <v>1</v>
      </c>
      <c r="S63" s="276">
        <f t="shared" si="6"/>
        <v>0</v>
      </c>
    </row>
    <row r="64" spans="1:19" ht="15.75" thickBot="1" x14ac:dyDescent="0.3">
      <c r="A64" s="208" t="s">
        <v>505</v>
      </c>
      <c r="B64" s="133" t="s">
        <v>178</v>
      </c>
      <c r="C64" s="33"/>
      <c r="D64" s="134"/>
      <c r="E64" s="135"/>
      <c r="F64" s="134"/>
      <c r="G64" s="135"/>
      <c r="H64" s="209"/>
      <c r="I64" s="210">
        <f>SUM(I63)</f>
        <v>74.78</v>
      </c>
      <c r="J64" s="179">
        <f>I64/I272</f>
        <v>4.6731122954133878E-5</v>
      </c>
      <c r="L64" s="129">
        <f>F63</f>
        <v>59.772000000000006</v>
      </c>
      <c r="M64" s="129"/>
      <c r="N64" s="282"/>
      <c r="O64" s="282"/>
      <c r="R64" s="276"/>
      <c r="S64" s="276"/>
    </row>
    <row r="65" spans="1:19" x14ac:dyDescent="0.2">
      <c r="A65" s="207" t="s">
        <v>45</v>
      </c>
      <c r="B65" s="42" t="s">
        <v>46</v>
      </c>
      <c r="C65" s="45"/>
      <c r="D65" s="130"/>
      <c r="E65" s="131"/>
      <c r="F65" s="130"/>
      <c r="G65" s="131"/>
      <c r="H65" s="171"/>
      <c r="I65" s="172"/>
      <c r="J65" s="173"/>
      <c r="N65" s="130"/>
      <c r="O65" s="130"/>
      <c r="R65" s="276"/>
      <c r="S65" s="276"/>
    </row>
    <row r="66" spans="1:19" ht="15" thickBot="1" x14ac:dyDescent="0.25">
      <c r="A66" s="207" t="s">
        <v>179</v>
      </c>
      <c r="B66" s="42" t="s">
        <v>180</v>
      </c>
      <c r="C66" s="45" t="s">
        <v>8</v>
      </c>
      <c r="D66" s="130">
        <v>11</v>
      </c>
      <c r="E66" s="131">
        <v>230.13</v>
      </c>
      <c r="F66" s="130">
        <f>D66*E66*R66</f>
        <v>2531.4299999999998</v>
      </c>
      <c r="G66" s="131">
        <f>D66*E66*S66</f>
        <v>0</v>
      </c>
      <c r="H66" s="171">
        <v>0.25109999999999999</v>
      </c>
      <c r="I66" s="172">
        <f t="shared" si="14"/>
        <v>3167.07</v>
      </c>
      <c r="J66" s="173">
        <f>I66/I272</f>
        <v>1.9791486704245627E-3</v>
      </c>
      <c r="N66" s="130">
        <v>2531.4299999999998</v>
      </c>
      <c r="O66" s="130">
        <v>0</v>
      </c>
      <c r="Q66" s="18">
        <f t="shared" si="4"/>
        <v>2531.4299999999998</v>
      </c>
      <c r="R66" s="276">
        <f t="shared" si="5"/>
        <v>1</v>
      </c>
      <c r="S66" s="276">
        <f t="shared" si="6"/>
        <v>0</v>
      </c>
    </row>
    <row r="67" spans="1:19" ht="15.75" thickBot="1" x14ac:dyDescent="0.3">
      <c r="A67" s="208" t="s">
        <v>503</v>
      </c>
      <c r="B67" s="133" t="s">
        <v>181</v>
      </c>
      <c r="C67" s="33"/>
      <c r="D67" s="134"/>
      <c r="E67" s="135"/>
      <c r="F67" s="134"/>
      <c r="G67" s="135"/>
      <c r="H67" s="209"/>
      <c r="I67" s="210">
        <f>SUM(I66)</f>
        <v>3167.07</v>
      </c>
      <c r="J67" s="179">
        <f>I67/I272</f>
        <v>1.9791486704245627E-3</v>
      </c>
      <c r="L67" s="129">
        <f>F66</f>
        <v>2531.4299999999998</v>
      </c>
      <c r="M67" s="129"/>
      <c r="N67" s="282"/>
      <c r="O67" s="282"/>
      <c r="R67" s="276"/>
      <c r="S67" s="276"/>
    </row>
    <row r="68" spans="1:19" ht="15.75" thickBot="1" x14ac:dyDescent="0.3">
      <c r="A68" s="212" t="s">
        <v>504</v>
      </c>
      <c r="B68" s="31" t="s">
        <v>182</v>
      </c>
      <c r="C68" s="24"/>
      <c r="D68" s="136"/>
      <c r="E68" s="137"/>
      <c r="F68" s="136"/>
      <c r="G68" s="137"/>
      <c r="H68" s="213"/>
      <c r="I68" s="214">
        <f>I49+I54+I58+I61+I64+I67</f>
        <v>20843.969999999998</v>
      </c>
      <c r="J68" s="215">
        <f>I68/I272</f>
        <v>1.3025703729904758E-2</v>
      </c>
      <c r="L68" s="141">
        <f>L49+L54+L58+L61+L64+L67</f>
        <v>16660.522100000002</v>
      </c>
      <c r="M68" s="278"/>
      <c r="N68" s="283"/>
      <c r="O68" s="283"/>
      <c r="R68" s="276"/>
      <c r="S68" s="276"/>
    </row>
    <row r="69" spans="1:19" x14ac:dyDescent="0.2">
      <c r="A69" s="207" t="s">
        <v>47</v>
      </c>
      <c r="B69" s="42" t="s">
        <v>48</v>
      </c>
      <c r="C69" s="45"/>
      <c r="D69" s="130"/>
      <c r="E69" s="131"/>
      <c r="F69" s="130"/>
      <c r="G69" s="131"/>
      <c r="H69" s="171"/>
      <c r="I69" s="172"/>
      <c r="J69" s="173"/>
      <c r="N69" s="130"/>
      <c r="O69" s="130"/>
      <c r="R69" s="276"/>
      <c r="S69" s="276"/>
    </row>
    <row r="70" spans="1:19" x14ac:dyDescent="0.2">
      <c r="A70" s="207" t="s">
        <v>22</v>
      </c>
      <c r="B70" s="42" t="s">
        <v>49</v>
      </c>
      <c r="C70" s="45"/>
      <c r="D70" s="130"/>
      <c r="E70" s="131"/>
      <c r="F70" s="130"/>
      <c r="G70" s="131"/>
      <c r="H70" s="171"/>
      <c r="I70" s="172"/>
      <c r="J70" s="173"/>
      <c r="N70" s="130"/>
      <c r="O70" s="130"/>
      <c r="R70" s="276"/>
      <c r="S70" s="276"/>
    </row>
    <row r="71" spans="1:19" x14ac:dyDescent="0.2">
      <c r="A71" s="207" t="s">
        <v>50</v>
      </c>
      <c r="B71" s="42" t="s">
        <v>183</v>
      </c>
      <c r="C71" s="45" t="s">
        <v>36</v>
      </c>
      <c r="D71" s="130">
        <v>205.7</v>
      </c>
      <c r="E71" s="131">
        <v>52.96</v>
      </c>
      <c r="F71" s="130">
        <f>D71*E71*R71</f>
        <v>10893.871999999999</v>
      </c>
      <c r="G71" s="131">
        <f>D71*E71*S71</f>
        <v>0</v>
      </c>
      <c r="H71" s="171">
        <v>0.25109999999999999</v>
      </c>
      <c r="I71" s="172">
        <f t="shared" si="14"/>
        <v>13629.32</v>
      </c>
      <c r="J71" s="173">
        <f>I71/I272</f>
        <v>8.5171627266814112E-3</v>
      </c>
      <c r="N71" s="130">
        <v>10893.871999999999</v>
      </c>
      <c r="O71" s="130">
        <v>0</v>
      </c>
      <c r="Q71" s="18">
        <f t="shared" si="4"/>
        <v>10893.871999999999</v>
      </c>
      <c r="R71" s="276">
        <f t="shared" si="5"/>
        <v>1</v>
      </c>
      <c r="S71" s="276">
        <f t="shared" si="6"/>
        <v>0</v>
      </c>
    </row>
    <row r="72" spans="1:19" ht="15" thickBot="1" x14ac:dyDescent="0.25">
      <c r="A72" s="207" t="s">
        <v>184</v>
      </c>
      <c r="B72" s="42" t="s">
        <v>185</v>
      </c>
      <c r="C72" s="45" t="s">
        <v>36</v>
      </c>
      <c r="D72" s="130">
        <v>2.08</v>
      </c>
      <c r="E72" s="131">
        <v>92.68</v>
      </c>
      <c r="F72" s="130">
        <f>D72*E72*R72</f>
        <v>192.77440000000001</v>
      </c>
      <c r="G72" s="131">
        <f>D72*E72*S72</f>
        <v>0</v>
      </c>
      <c r="H72" s="171">
        <v>0.25109999999999999</v>
      </c>
      <c r="I72" s="172">
        <f t="shared" si="14"/>
        <v>241.18</v>
      </c>
      <c r="J72" s="173">
        <f>I72/I272</f>
        <v>1.5071693279055908E-4</v>
      </c>
      <c r="N72" s="130">
        <v>192.77440000000001</v>
      </c>
      <c r="O72" s="130">
        <v>0</v>
      </c>
      <c r="Q72" s="18">
        <f t="shared" si="4"/>
        <v>192.77440000000001</v>
      </c>
      <c r="R72" s="276">
        <f t="shared" si="5"/>
        <v>1</v>
      </c>
      <c r="S72" s="276">
        <f t="shared" si="6"/>
        <v>0</v>
      </c>
    </row>
    <row r="73" spans="1:19" ht="15.75" thickBot="1" x14ac:dyDescent="0.3">
      <c r="A73" s="208" t="s">
        <v>502</v>
      </c>
      <c r="B73" s="133" t="s">
        <v>186</v>
      </c>
      <c r="C73" s="33"/>
      <c r="D73" s="134"/>
      <c r="E73" s="135"/>
      <c r="F73" s="134"/>
      <c r="G73" s="135"/>
      <c r="H73" s="209"/>
      <c r="I73" s="210">
        <f>SUM(I71:I72)</f>
        <v>13870.5</v>
      </c>
      <c r="J73" s="179">
        <f>I73/I272</f>
        <v>8.6678796594719699E-3</v>
      </c>
      <c r="L73" s="129">
        <f>F71+F72</f>
        <v>11086.6464</v>
      </c>
      <c r="M73" s="129"/>
      <c r="N73" s="282"/>
      <c r="O73" s="282"/>
      <c r="R73" s="276"/>
      <c r="S73" s="276"/>
    </row>
    <row r="74" spans="1:19" ht="28.5" x14ac:dyDescent="0.2">
      <c r="A74" s="207" t="s">
        <v>23</v>
      </c>
      <c r="B74" s="138" t="s">
        <v>51</v>
      </c>
      <c r="C74" s="45"/>
      <c r="D74" s="130"/>
      <c r="E74" s="131"/>
      <c r="F74" s="130"/>
      <c r="G74" s="131"/>
      <c r="H74" s="171"/>
      <c r="I74" s="172"/>
      <c r="J74" s="173"/>
      <c r="N74" s="130"/>
      <c r="O74" s="130"/>
      <c r="R74" s="276"/>
      <c r="S74" s="276"/>
    </row>
    <row r="75" spans="1:19" x14ac:dyDescent="0.2">
      <c r="A75" s="207" t="s">
        <v>52</v>
      </c>
      <c r="B75" s="42" t="s">
        <v>187</v>
      </c>
      <c r="C75" s="45" t="s">
        <v>36</v>
      </c>
      <c r="D75" s="170">
        <v>4155.82</v>
      </c>
      <c r="E75" s="131">
        <v>17.72</v>
      </c>
      <c r="F75" s="130">
        <f>D75*E75*R75</f>
        <v>73641.130399999995</v>
      </c>
      <c r="G75" s="131">
        <f t="shared" ref="G75:G77" si="15">D75*E75*S75</f>
        <v>0</v>
      </c>
      <c r="H75" s="171">
        <v>0.25109999999999999</v>
      </c>
      <c r="I75" s="172">
        <f t="shared" si="14"/>
        <v>92132.42</v>
      </c>
      <c r="J75" s="173">
        <f>I75/I272</f>
        <v>5.7574905684433041E-2</v>
      </c>
      <c r="N75" s="130">
        <v>69104.810400000002</v>
      </c>
      <c r="O75" s="130">
        <v>0</v>
      </c>
      <c r="Q75" s="18">
        <f t="shared" si="4"/>
        <v>69104.810400000002</v>
      </c>
      <c r="R75" s="276">
        <f t="shared" si="5"/>
        <v>1</v>
      </c>
      <c r="S75" s="276">
        <f t="shared" si="6"/>
        <v>0</v>
      </c>
    </row>
    <row r="76" spans="1:19" x14ac:dyDescent="0.2">
      <c r="A76" s="207" t="s">
        <v>53</v>
      </c>
      <c r="B76" s="42" t="s">
        <v>188</v>
      </c>
      <c r="C76" s="45" t="s">
        <v>36</v>
      </c>
      <c r="D76" s="130">
        <v>1434.93</v>
      </c>
      <c r="E76" s="131">
        <v>19.13</v>
      </c>
      <c r="F76" s="130">
        <f t="shared" ref="F76:F78" si="16">D76*E76*R76</f>
        <v>27450.210899999998</v>
      </c>
      <c r="G76" s="131">
        <f t="shared" si="15"/>
        <v>0</v>
      </c>
      <c r="H76" s="171">
        <v>0.25109999999999999</v>
      </c>
      <c r="I76" s="172">
        <f t="shared" si="14"/>
        <v>34342.959999999999</v>
      </c>
      <c r="J76" s="173">
        <f>I76/I272</f>
        <v>2.1461421320793012E-2</v>
      </c>
      <c r="N76" s="130">
        <v>27450.210899999998</v>
      </c>
      <c r="O76" s="130">
        <v>0</v>
      </c>
      <c r="Q76" s="18">
        <f t="shared" si="4"/>
        <v>27450.210899999998</v>
      </c>
      <c r="R76" s="276">
        <f t="shared" si="5"/>
        <v>1</v>
      </c>
      <c r="S76" s="276">
        <f t="shared" si="6"/>
        <v>0</v>
      </c>
    </row>
    <row r="77" spans="1:19" ht="28.5" x14ac:dyDescent="0.2">
      <c r="A77" s="207" t="s">
        <v>189</v>
      </c>
      <c r="B77" s="138" t="s">
        <v>191</v>
      </c>
      <c r="C77" s="45" t="s">
        <v>36</v>
      </c>
      <c r="D77" s="130">
        <v>41.47</v>
      </c>
      <c r="E77" s="131">
        <v>21.26</v>
      </c>
      <c r="F77" s="130">
        <f t="shared" si="16"/>
        <v>881.65219999999999</v>
      </c>
      <c r="G77" s="131">
        <f t="shared" si="15"/>
        <v>0</v>
      </c>
      <c r="H77" s="171">
        <v>0.25109999999999999</v>
      </c>
      <c r="I77" s="172">
        <f t="shared" si="14"/>
        <v>1103.04</v>
      </c>
      <c r="J77" s="173">
        <f>I77/I272</f>
        <v>6.8930593558876475E-4</v>
      </c>
      <c r="N77" s="130">
        <v>881.65219999999999</v>
      </c>
      <c r="O77" s="130">
        <v>0</v>
      </c>
      <c r="Q77" s="18">
        <f t="shared" si="4"/>
        <v>881.65219999999999</v>
      </c>
      <c r="R77" s="276">
        <f t="shared" si="5"/>
        <v>1</v>
      </c>
      <c r="S77" s="276">
        <f t="shared" si="6"/>
        <v>0</v>
      </c>
    </row>
    <row r="78" spans="1:19" ht="15" thickBot="1" x14ac:dyDescent="0.25">
      <c r="A78" s="207" t="s">
        <v>190</v>
      </c>
      <c r="B78" s="42" t="s">
        <v>192</v>
      </c>
      <c r="C78" s="45" t="s">
        <v>36</v>
      </c>
      <c r="D78" s="130">
        <v>14.49</v>
      </c>
      <c r="E78" s="131">
        <v>22.96</v>
      </c>
      <c r="F78" s="130">
        <f t="shared" si="16"/>
        <v>332.69040000000001</v>
      </c>
      <c r="G78" s="131">
        <f>D78*E78*S78</f>
        <v>0</v>
      </c>
      <c r="H78" s="171">
        <v>0.25109999999999999</v>
      </c>
      <c r="I78" s="172">
        <f t="shared" si="14"/>
        <v>416.23</v>
      </c>
      <c r="J78" s="173">
        <f>I78/I272</f>
        <v>2.6010825497725518E-4</v>
      </c>
      <c r="N78" s="130">
        <v>332.69040000000001</v>
      </c>
      <c r="O78" s="130">
        <v>0</v>
      </c>
      <c r="Q78" s="18">
        <f t="shared" si="4"/>
        <v>332.69040000000001</v>
      </c>
      <c r="R78" s="276">
        <f t="shared" si="5"/>
        <v>1</v>
      </c>
      <c r="S78" s="276">
        <f t="shared" si="6"/>
        <v>0</v>
      </c>
    </row>
    <row r="79" spans="1:19" ht="30.75" thickBot="1" x14ac:dyDescent="0.3">
      <c r="A79" s="208" t="s">
        <v>501</v>
      </c>
      <c r="B79" s="139" t="s">
        <v>193</v>
      </c>
      <c r="C79" s="33"/>
      <c r="D79" s="134"/>
      <c r="E79" s="135"/>
      <c r="F79" s="134"/>
      <c r="G79" s="135"/>
      <c r="H79" s="209"/>
      <c r="I79" s="210">
        <f>SUM(I75:I78)</f>
        <v>127994.65</v>
      </c>
      <c r="J79" s="179">
        <f>I79/I272</f>
        <v>7.9985741195792076E-2</v>
      </c>
      <c r="L79" s="129">
        <f>F75+F76+F77+F78</f>
        <v>102305.6839</v>
      </c>
      <c r="M79" s="129"/>
      <c r="N79" s="282"/>
      <c r="O79" s="282"/>
      <c r="R79" s="276"/>
      <c r="S79" s="276"/>
    </row>
    <row r="80" spans="1:19" x14ac:dyDescent="0.2">
      <c r="A80" s="207" t="s">
        <v>24</v>
      </c>
      <c r="B80" s="42" t="s">
        <v>194</v>
      </c>
      <c r="C80" s="45"/>
      <c r="D80" s="130"/>
      <c r="E80" s="131"/>
      <c r="F80" s="130"/>
      <c r="G80" s="131"/>
      <c r="H80" s="171"/>
      <c r="I80" s="172"/>
      <c r="J80" s="173"/>
      <c r="N80" s="130"/>
      <c r="O80" s="130"/>
      <c r="R80" s="276"/>
      <c r="S80" s="276"/>
    </row>
    <row r="81" spans="1:19" ht="15" thickBot="1" x14ac:dyDescent="0.25">
      <c r="A81" s="207" t="s">
        <v>195</v>
      </c>
      <c r="B81" s="42" t="s">
        <v>196</v>
      </c>
      <c r="C81" s="45" t="s">
        <v>36</v>
      </c>
      <c r="D81" s="130">
        <v>201.43</v>
      </c>
      <c r="E81" s="131">
        <v>265.04000000000002</v>
      </c>
      <c r="F81" s="130">
        <f>D81*E81*R81</f>
        <v>53387.007200000007</v>
      </c>
      <c r="G81" s="131">
        <f>D81*E81*S81</f>
        <v>0</v>
      </c>
      <c r="H81" s="171">
        <v>0.25109999999999999</v>
      </c>
      <c r="I81" s="172">
        <f t="shared" si="14"/>
        <v>66792.479999999996</v>
      </c>
      <c r="J81" s="173">
        <f>I81/I272</f>
        <v>4.1739604109274242E-2</v>
      </c>
      <c r="N81" s="130">
        <v>53387.0072</v>
      </c>
      <c r="O81" s="130">
        <v>0</v>
      </c>
      <c r="Q81" s="18">
        <f t="shared" si="4"/>
        <v>53387.0072</v>
      </c>
      <c r="R81" s="276">
        <f t="shared" si="5"/>
        <v>1</v>
      </c>
      <c r="S81" s="276">
        <f t="shared" si="6"/>
        <v>0</v>
      </c>
    </row>
    <row r="82" spans="1:19" ht="15.75" thickBot="1" x14ac:dyDescent="0.3">
      <c r="A82" s="208" t="s">
        <v>500</v>
      </c>
      <c r="B82" s="133" t="s">
        <v>197</v>
      </c>
      <c r="C82" s="33"/>
      <c r="D82" s="134"/>
      <c r="E82" s="135"/>
      <c r="F82" s="134"/>
      <c r="G82" s="135"/>
      <c r="H82" s="209"/>
      <c r="I82" s="210">
        <f>SUM(I81)</f>
        <v>66792.479999999996</v>
      </c>
      <c r="J82" s="179">
        <f>I82/I272</f>
        <v>4.1739604109274242E-2</v>
      </c>
      <c r="L82" s="129">
        <f>F81</f>
        <v>53387.007200000007</v>
      </c>
      <c r="M82" s="129"/>
      <c r="N82" s="282"/>
      <c r="O82" s="282"/>
      <c r="R82" s="276"/>
      <c r="S82" s="276"/>
    </row>
    <row r="83" spans="1:19" x14ac:dyDescent="0.2">
      <c r="A83" s="207" t="s">
        <v>25</v>
      </c>
      <c r="B83" s="42" t="s">
        <v>198</v>
      </c>
      <c r="C83" s="45"/>
      <c r="D83" s="130"/>
      <c r="E83" s="131"/>
      <c r="F83" s="130"/>
      <c r="G83" s="131"/>
      <c r="H83" s="171"/>
      <c r="I83" s="172"/>
      <c r="J83" s="173"/>
      <c r="N83" s="130"/>
      <c r="O83" s="130"/>
      <c r="R83" s="276"/>
      <c r="S83" s="276"/>
    </row>
    <row r="84" spans="1:19" x14ac:dyDescent="0.2">
      <c r="A84" s="207" t="s">
        <v>199</v>
      </c>
      <c r="B84" s="42" t="s">
        <v>200</v>
      </c>
      <c r="C84" s="45" t="s">
        <v>36</v>
      </c>
      <c r="D84" s="130">
        <v>161.13999999999999</v>
      </c>
      <c r="E84" s="131">
        <v>59.68</v>
      </c>
      <c r="F84" s="130">
        <f>D84*E84*R84</f>
        <v>9616.8351999999995</v>
      </c>
      <c r="G84" s="131">
        <f>D84*E84*S84</f>
        <v>0</v>
      </c>
      <c r="H84" s="171">
        <v>0.25109999999999999</v>
      </c>
      <c r="I84" s="172">
        <f t="shared" si="14"/>
        <v>12031.62</v>
      </c>
      <c r="J84" s="173">
        <f>I84/I272</f>
        <v>7.5187364744238603E-3</v>
      </c>
      <c r="N84" s="130">
        <v>9616.8351999999995</v>
      </c>
      <c r="O84" s="130">
        <v>0</v>
      </c>
      <c r="Q84" s="18">
        <f t="shared" si="4"/>
        <v>9616.8351999999995</v>
      </c>
      <c r="R84" s="276">
        <f t="shared" si="5"/>
        <v>1</v>
      </c>
      <c r="S84" s="276">
        <f t="shared" si="6"/>
        <v>0</v>
      </c>
    </row>
    <row r="85" spans="1:19" ht="15" thickBot="1" x14ac:dyDescent="0.25">
      <c r="A85" s="207" t="s">
        <v>201</v>
      </c>
      <c r="B85" s="42" t="s">
        <v>202</v>
      </c>
      <c r="C85" s="45" t="s">
        <v>36</v>
      </c>
      <c r="D85" s="130">
        <v>40.29</v>
      </c>
      <c r="E85" s="131">
        <v>66.23</v>
      </c>
      <c r="F85" s="130">
        <f>D85*E85*R85</f>
        <v>2668.4067</v>
      </c>
      <c r="G85" s="131">
        <f>D85*E85*S85</f>
        <v>0</v>
      </c>
      <c r="H85" s="171">
        <v>0.25109999999999999</v>
      </c>
      <c r="I85" s="172">
        <f t="shared" si="14"/>
        <v>3338.44</v>
      </c>
      <c r="J85" s="173">
        <f>I85/I272</f>
        <v>2.0862403064321839E-3</v>
      </c>
      <c r="N85" s="130">
        <v>2668.4067</v>
      </c>
      <c r="O85" s="130">
        <v>0</v>
      </c>
      <c r="Q85" s="18">
        <f t="shared" si="4"/>
        <v>2668.4067</v>
      </c>
      <c r="R85" s="276">
        <f t="shared" si="5"/>
        <v>1</v>
      </c>
      <c r="S85" s="276">
        <f t="shared" si="6"/>
        <v>0</v>
      </c>
    </row>
    <row r="86" spans="1:19" ht="15.75" thickBot="1" x14ac:dyDescent="0.3">
      <c r="A86" s="208" t="s">
        <v>499</v>
      </c>
      <c r="B86" s="133" t="s">
        <v>203</v>
      </c>
      <c r="C86" s="33"/>
      <c r="D86" s="134"/>
      <c r="E86" s="135"/>
      <c r="F86" s="134"/>
      <c r="G86" s="135"/>
      <c r="H86" s="209"/>
      <c r="I86" s="210">
        <f>SUM(I84:I85)</f>
        <v>15370.060000000001</v>
      </c>
      <c r="J86" s="179">
        <f>I86/I272</f>
        <v>9.6049767808560442E-3</v>
      </c>
      <c r="L86" s="129">
        <f>F84+F85</f>
        <v>12285.241899999999</v>
      </c>
      <c r="M86" s="129"/>
      <c r="N86" s="282"/>
      <c r="O86" s="282"/>
      <c r="R86" s="276"/>
      <c r="S86" s="276"/>
    </row>
    <row r="87" spans="1:19" x14ac:dyDescent="0.2">
      <c r="A87" s="207" t="s">
        <v>54</v>
      </c>
      <c r="B87" s="42" t="s">
        <v>204</v>
      </c>
      <c r="C87" s="45"/>
      <c r="D87" s="130"/>
      <c r="E87" s="131"/>
      <c r="F87" s="130"/>
      <c r="G87" s="131"/>
      <c r="H87" s="171"/>
      <c r="I87" s="172"/>
      <c r="J87" s="173"/>
      <c r="N87" s="130"/>
      <c r="O87" s="130"/>
      <c r="R87" s="276"/>
      <c r="S87" s="276"/>
    </row>
    <row r="88" spans="1:19" x14ac:dyDescent="0.2">
      <c r="A88" s="207" t="s">
        <v>55</v>
      </c>
      <c r="B88" s="42" t="s">
        <v>57</v>
      </c>
      <c r="C88" s="45" t="s">
        <v>36</v>
      </c>
      <c r="D88" s="170">
        <v>1394.15</v>
      </c>
      <c r="E88" s="131">
        <v>11.91</v>
      </c>
      <c r="F88" s="130">
        <f>D88*E88*R88</f>
        <v>16604.326500000003</v>
      </c>
      <c r="G88" s="131">
        <f>D88*E88*S88</f>
        <v>0</v>
      </c>
      <c r="H88" s="171">
        <v>0.25109999999999999</v>
      </c>
      <c r="I88" s="172">
        <f t="shared" si="14"/>
        <v>20773.669999999998</v>
      </c>
      <c r="J88" s="173">
        <f>I88/I272</f>
        <v>1.2981772224907758E-2</v>
      </c>
      <c r="N88" s="130">
        <v>15795.756600000001</v>
      </c>
      <c r="O88" s="130">
        <v>0</v>
      </c>
      <c r="Q88" s="18">
        <f t="shared" si="4"/>
        <v>15795.756600000001</v>
      </c>
      <c r="R88" s="276">
        <f t="shared" si="5"/>
        <v>1</v>
      </c>
      <c r="S88" s="276">
        <f t="shared" si="6"/>
        <v>0</v>
      </c>
    </row>
    <row r="89" spans="1:19" ht="15" thickBot="1" x14ac:dyDescent="0.25">
      <c r="A89" s="207" t="s">
        <v>56</v>
      </c>
      <c r="B89" s="42" t="s">
        <v>58</v>
      </c>
      <c r="C89" s="45" t="s">
        <v>36</v>
      </c>
      <c r="D89" s="170">
        <v>4185.45</v>
      </c>
      <c r="E89" s="131">
        <v>2.42</v>
      </c>
      <c r="F89" s="130">
        <f>D89*E89*R89</f>
        <v>10128.788999999999</v>
      </c>
      <c r="G89" s="131">
        <f>D89*E89*S89</f>
        <v>0</v>
      </c>
      <c r="H89" s="171">
        <v>0.25109999999999999</v>
      </c>
      <c r="I89" s="172">
        <f t="shared" si="14"/>
        <v>12672.13</v>
      </c>
      <c r="J89" s="173">
        <f>I89/I272</f>
        <v>7.9190006033801608E-3</v>
      </c>
      <c r="N89" s="130">
        <v>9673.5627999999997</v>
      </c>
      <c r="O89" s="130">
        <v>0</v>
      </c>
      <c r="Q89" s="18">
        <f t="shared" si="4"/>
        <v>9673.5627999999997</v>
      </c>
      <c r="R89" s="276">
        <f t="shared" si="5"/>
        <v>1</v>
      </c>
      <c r="S89" s="276">
        <f t="shared" si="6"/>
        <v>0</v>
      </c>
    </row>
    <row r="90" spans="1:19" ht="15.75" thickBot="1" x14ac:dyDescent="0.3">
      <c r="A90" s="208" t="s">
        <v>498</v>
      </c>
      <c r="B90" s="133" t="s">
        <v>205</v>
      </c>
      <c r="C90" s="33"/>
      <c r="D90" s="134"/>
      <c r="E90" s="135"/>
      <c r="F90" s="134"/>
      <c r="G90" s="135"/>
      <c r="H90" s="209"/>
      <c r="I90" s="210">
        <f>SUM(I88:I89)</f>
        <v>33445.799999999996</v>
      </c>
      <c r="J90" s="179">
        <f>I90/I272</f>
        <v>2.0900772828287919E-2</v>
      </c>
      <c r="L90" s="129">
        <f>F88+F89</f>
        <v>26733.1155</v>
      </c>
      <c r="M90" s="129"/>
      <c r="N90" s="282"/>
      <c r="O90" s="282"/>
      <c r="R90" s="276"/>
      <c r="S90" s="276"/>
    </row>
    <row r="91" spans="1:19" x14ac:dyDescent="0.2">
      <c r="A91" s="207" t="s">
        <v>59</v>
      </c>
      <c r="B91" s="42" t="s">
        <v>60</v>
      </c>
      <c r="C91" s="45"/>
      <c r="D91" s="130"/>
      <c r="E91" s="131"/>
      <c r="F91" s="130"/>
      <c r="G91" s="131"/>
      <c r="H91" s="171"/>
      <c r="I91" s="172"/>
      <c r="J91" s="173"/>
      <c r="N91" s="130"/>
      <c r="O91" s="130"/>
      <c r="R91" s="276"/>
      <c r="S91" s="276"/>
    </row>
    <row r="92" spans="1:19" x14ac:dyDescent="0.2">
      <c r="A92" s="207" t="s">
        <v>61</v>
      </c>
      <c r="B92" s="42" t="s">
        <v>57</v>
      </c>
      <c r="C92" s="45" t="s">
        <v>36</v>
      </c>
      <c r="D92" s="170">
        <v>1394.15</v>
      </c>
      <c r="E92" s="131">
        <v>33.1</v>
      </c>
      <c r="F92" s="130">
        <f>D92*E92*R92</f>
        <v>46146.365000000005</v>
      </c>
      <c r="G92" s="131">
        <f>D92*E92*S92</f>
        <v>0</v>
      </c>
      <c r="H92" s="171">
        <v>0.25109999999999999</v>
      </c>
      <c r="I92" s="172">
        <f t="shared" si="14"/>
        <v>57733.72</v>
      </c>
      <c r="J92" s="173">
        <f>I92/I272</f>
        <v>3.6078651617003715E-2</v>
      </c>
      <c r="N92" s="130">
        <v>43899.205999999998</v>
      </c>
      <c r="O92" s="130">
        <v>0</v>
      </c>
      <c r="Q92" s="18">
        <f t="shared" si="4"/>
        <v>43899.205999999998</v>
      </c>
      <c r="R92" s="276">
        <f t="shared" si="5"/>
        <v>1</v>
      </c>
      <c r="S92" s="276">
        <f t="shared" si="6"/>
        <v>0</v>
      </c>
    </row>
    <row r="93" spans="1:19" ht="15" thickBot="1" x14ac:dyDescent="0.25">
      <c r="A93" s="207" t="s">
        <v>62</v>
      </c>
      <c r="B93" s="42" t="s">
        <v>58</v>
      </c>
      <c r="C93" s="45" t="s">
        <v>36</v>
      </c>
      <c r="D93" s="170">
        <v>4185.45</v>
      </c>
      <c r="E93" s="131">
        <v>6.34</v>
      </c>
      <c r="F93" s="130">
        <f>D93*E93*R93</f>
        <v>26535.752999999997</v>
      </c>
      <c r="G93" s="131">
        <f>D93*E93*S93</f>
        <v>0</v>
      </c>
      <c r="H93" s="171">
        <v>0.25109999999999999</v>
      </c>
      <c r="I93" s="172">
        <f t="shared" si="14"/>
        <v>33198.879999999997</v>
      </c>
      <c r="J93" s="173">
        <f>I93/I272</f>
        <v>2.0746468884989783E-2</v>
      </c>
      <c r="N93" s="130">
        <v>25343.135600000001</v>
      </c>
      <c r="O93" s="130">
        <v>0</v>
      </c>
      <c r="Q93" s="18">
        <f t="shared" si="4"/>
        <v>25343.135600000001</v>
      </c>
      <c r="R93" s="276">
        <f t="shared" si="5"/>
        <v>1</v>
      </c>
      <c r="S93" s="276">
        <f t="shared" si="6"/>
        <v>0</v>
      </c>
    </row>
    <row r="94" spans="1:19" ht="15.75" thickBot="1" x14ac:dyDescent="0.3">
      <c r="A94" s="208" t="s">
        <v>497</v>
      </c>
      <c r="B94" s="133" t="s">
        <v>206</v>
      </c>
      <c r="C94" s="33"/>
      <c r="D94" s="134"/>
      <c r="E94" s="135"/>
      <c r="F94" s="134"/>
      <c r="G94" s="135"/>
      <c r="H94" s="209"/>
      <c r="I94" s="210">
        <f>SUM(I92:I93)</f>
        <v>90932.6</v>
      </c>
      <c r="J94" s="179">
        <f>I94/I272</f>
        <v>5.6825120501993509E-2</v>
      </c>
      <c r="L94" s="129">
        <f>F92+F93</f>
        <v>72682.118000000002</v>
      </c>
      <c r="M94" s="129"/>
      <c r="N94" s="282"/>
      <c r="O94" s="282"/>
      <c r="R94" s="276"/>
      <c r="S94" s="276"/>
    </row>
    <row r="95" spans="1:19" x14ac:dyDescent="0.2">
      <c r="A95" s="207" t="s">
        <v>100</v>
      </c>
      <c r="B95" s="42" t="s">
        <v>207</v>
      </c>
      <c r="C95" s="45"/>
      <c r="D95" s="130"/>
      <c r="E95" s="131"/>
      <c r="F95" s="130"/>
      <c r="G95" s="131"/>
      <c r="H95" s="171"/>
      <c r="I95" s="172"/>
      <c r="J95" s="173"/>
      <c r="N95" s="130"/>
      <c r="O95" s="130"/>
      <c r="R95" s="276"/>
      <c r="S95" s="276"/>
    </row>
    <row r="96" spans="1:19" ht="15" thickBot="1" x14ac:dyDescent="0.25">
      <c r="A96" s="207" t="s">
        <v>208</v>
      </c>
      <c r="B96" s="42" t="s">
        <v>209</v>
      </c>
      <c r="C96" s="45" t="s">
        <v>36</v>
      </c>
      <c r="D96" s="130">
        <v>201.43</v>
      </c>
      <c r="E96" s="131">
        <v>36.51</v>
      </c>
      <c r="F96" s="130">
        <f>D96*E96*R96</f>
        <v>0</v>
      </c>
      <c r="G96" s="131">
        <f>D96*E96*S96</f>
        <v>7354.2092999999995</v>
      </c>
      <c r="H96" s="171">
        <v>0.25109999999999999</v>
      </c>
      <c r="I96" s="172">
        <f t="shared" si="14"/>
        <v>9200.85</v>
      </c>
      <c r="J96" s="173">
        <f>I96/I272</f>
        <v>5.7497466252011591E-3</v>
      </c>
      <c r="N96" s="130">
        <v>0</v>
      </c>
      <c r="O96" s="130">
        <v>7354.2093000000004</v>
      </c>
      <c r="Q96" s="18">
        <f t="shared" si="4"/>
        <v>7354.2093000000004</v>
      </c>
      <c r="R96" s="276">
        <f t="shared" si="5"/>
        <v>0</v>
      </c>
      <c r="S96" s="276">
        <f t="shared" si="6"/>
        <v>1</v>
      </c>
    </row>
    <row r="97" spans="1:19" ht="15.75" thickBot="1" x14ac:dyDescent="0.3">
      <c r="A97" s="208" t="s">
        <v>496</v>
      </c>
      <c r="B97" s="133" t="s">
        <v>210</v>
      </c>
      <c r="C97" s="33"/>
      <c r="D97" s="134"/>
      <c r="E97" s="135"/>
      <c r="F97" s="134"/>
      <c r="G97" s="135"/>
      <c r="H97" s="209"/>
      <c r="I97" s="210">
        <f>SUM(I96)</f>
        <v>9200.85</v>
      </c>
      <c r="J97" s="179">
        <f>I97/I272</f>
        <v>5.7497466252011591E-3</v>
      </c>
      <c r="L97" s="129">
        <f>G96</f>
        <v>7354.2092999999995</v>
      </c>
      <c r="M97" s="129"/>
      <c r="N97" s="282"/>
      <c r="O97" s="282"/>
      <c r="R97" s="276"/>
      <c r="S97" s="276"/>
    </row>
    <row r="98" spans="1:19" x14ac:dyDescent="0.2">
      <c r="A98" s="207" t="s">
        <v>63</v>
      </c>
      <c r="B98" s="42" t="s">
        <v>64</v>
      </c>
      <c r="C98" s="45"/>
      <c r="D98" s="130"/>
      <c r="E98" s="131"/>
      <c r="F98" s="130"/>
      <c r="G98" s="131"/>
      <c r="H98" s="171"/>
      <c r="I98" s="172"/>
      <c r="J98" s="173"/>
      <c r="N98" s="130"/>
      <c r="O98" s="130"/>
      <c r="R98" s="276"/>
      <c r="S98" s="276"/>
    </row>
    <row r="99" spans="1:19" x14ac:dyDescent="0.2">
      <c r="A99" s="207" t="s">
        <v>65</v>
      </c>
      <c r="B99" s="42" t="s">
        <v>66</v>
      </c>
      <c r="C99" s="45" t="s">
        <v>36</v>
      </c>
      <c r="D99" s="130">
        <v>474.24</v>
      </c>
      <c r="E99" s="131">
        <v>3.81</v>
      </c>
      <c r="F99" s="130">
        <f>D99*E99*R99</f>
        <v>1806.8544000000002</v>
      </c>
      <c r="G99" s="131">
        <f>D99*E99*S99</f>
        <v>0</v>
      </c>
      <c r="H99" s="171">
        <v>0.25109999999999999</v>
      </c>
      <c r="I99" s="172">
        <f t="shared" si="14"/>
        <v>2260.56</v>
      </c>
      <c r="J99" s="173">
        <f>I99/I272</f>
        <v>1.4126572252633977E-3</v>
      </c>
      <c r="N99" s="130">
        <v>1806.8543999999999</v>
      </c>
      <c r="O99" s="130">
        <v>0</v>
      </c>
      <c r="Q99" s="18">
        <f t="shared" si="4"/>
        <v>1806.8543999999999</v>
      </c>
      <c r="R99" s="276">
        <f t="shared" si="5"/>
        <v>1</v>
      </c>
      <c r="S99" s="276">
        <f t="shared" si="6"/>
        <v>0</v>
      </c>
    </row>
    <row r="100" spans="1:19" ht="15" thickBot="1" x14ac:dyDescent="0.25">
      <c r="A100" s="207" t="s">
        <v>211</v>
      </c>
      <c r="B100" s="42" t="s">
        <v>212</v>
      </c>
      <c r="C100" s="45" t="s">
        <v>36</v>
      </c>
      <c r="D100" s="130">
        <v>251.78</v>
      </c>
      <c r="E100" s="131">
        <v>4.58</v>
      </c>
      <c r="F100" s="130">
        <f>D100*E100*R100</f>
        <v>1153.1523999999999</v>
      </c>
      <c r="G100" s="131">
        <f>D100*E100*S100</f>
        <v>0</v>
      </c>
      <c r="H100" s="171">
        <v>0.25109999999999999</v>
      </c>
      <c r="I100" s="172">
        <f t="shared" si="14"/>
        <v>1442.71</v>
      </c>
      <c r="J100" s="173">
        <f>I100/I272</f>
        <v>9.0157071940570317E-4</v>
      </c>
      <c r="N100" s="130">
        <v>1153.1523999999999</v>
      </c>
      <c r="O100" s="130">
        <v>0</v>
      </c>
      <c r="Q100" s="18">
        <f t="shared" si="4"/>
        <v>1153.1523999999999</v>
      </c>
      <c r="R100" s="276">
        <f t="shared" si="5"/>
        <v>1</v>
      </c>
      <c r="S100" s="276">
        <f t="shared" si="6"/>
        <v>0</v>
      </c>
    </row>
    <row r="101" spans="1:19" ht="15.75" thickBot="1" x14ac:dyDescent="0.3">
      <c r="A101" s="208" t="s">
        <v>495</v>
      </c>
      <c r="B101" s="133" t="s">
        <v>213</v>
      </c>
      <c r="C101" s="33"/>
      <c r="D101" s="134"/>
      <c r="E101" s="135"/>
      <c r="F101" s="134"/>
      <c r="G101" s="135"/>
      <c r="H101" s="209"/>
      <c r="I101" s="210">
        <f>SUM(I99:I100)</f>
        <v>3703.27</v>
      </c>
      <c r="J101" s="179">
        <f>I101/I272</f>
        <v>2.3142279446691006E-3</v>
      </c>
      <c r="L101" s="129">
        <f>F99+F100</f>
        <v>2960.0068000000001</v>
      </c>
      <c r="M101" s="129"/>
      <c r="N101" s="282"/>
      <c r="O101" s="282"/>
      <c r="R101" s="276"/>
      <c r="S101" s="276"/>
    </row>
    <row r="102" spans="1:19" x14ac:dyDescent="0.2">
      <c r="A102" s="207" t="s">
        <v>67</v>
      </c>
      <c r="B102" s="42" t="s">
        <v>68</v>
      </c>
      <c r="C102" s="45"/>
      <c r="D102" s="130"/>
      <c r="E102" s="131"/>
      <c r="F102" s="130"/>
      <c r="G102" s="131"/>
      <c r="H102" s="171"/>
      <c r="I102" s="172"/>
      <c r="J102" s="173"/>
      <c r="N102" s="130"/>
      <c r="O102" s="130"/>
      <c r="R102" s="276"/>
      <c r="S102" s="276"/>
    </row>
    <row r="103" spans="1:19" x14ac:dyDescent="0.2">
      <c r="A103" s="207" t="s">
        <v>69</v>
      </c>
      <c r="B103" s="42" t="s">
        <v>70</v>
      </c>
      <c r="C103" s="45" t="s">
        <v>71</v>
      </c>
      <c r="D103" s="130">
        <v>1185.5999999999999</v>
      </c>
      <c r="E103" s="131">
        <v>1.68</v>
      </c>
      <c r="F103" s="130">
        <f>D103*E103*R103</f>
        <v>1991.8079999999998</v>
      </c>
      <c r="G103" s="131">
        <f>D103*E103*S103</f>
        <v>0</v>
      </c>
      <c r="H103" s="171">
        <v>0.25109999999999999</v>
      </c>
      <c r="I103" s="172">
        <f t="shared" si="14"/>
        <v>2491.9499999999998</v>
      </c>
      <c r="J103" s="173">
        <f>I103/I272</f>
        <v>1.5572562429199506E-3</v>
      </c>
      <c r="N103" s="130">
        <v>1991.808</v>
      </c>
      <c r="O103" s="130">
        <v>0</v>
      </c>
      <c r="Q103" s="18">
        <f t="shared" ref="Q103:Q165" si="17">N103+O103</f>
        <v>1991.808</v>
      </c>
      <c r="R103" s="276">
        <f t="shared" ref="R103:R165" si="18">N103/Q103</f>
        <v>1</v>
      </c>
      <c r="S103" s="276">
        <f t="shared" ref="S103:S165" si="19">O103/Q103</f>
        <v>0</v>
      </c>
    </row>
    <row r="104" spans="1:19" ht="15" thickBot="1" x14ac:dyDescent="0.25">
      <c r="A104" s="207" t="s">
        <v>214</v>
      </c>
      <c r="B104" s="42" t="s">
        <v>215</v>
      </c>
      <c r="C104" s="45" t="s">
        <v>71</v>
      </c>
      <c r="D104" s="130">
        <v>629.46</v>
      </c>
      <c r="E104" s="131">
        <v>5.33</v>
      </c>
      <c r="F104" s="130">
        <f>D104*E104*R104</f>
        <v>3355.0218000000004</v>
      </c>
      <c r="G104" s="131">
        <f>D104*E104*S104</f>
        <v>0</v>
      </c>
      <c r="H104" s="171">
        <v>0.25109999999999999</v>
      </c>
      <c r="I104" s="172">
        <f t="shared" si="14"/>
        <v>4197.47</v>
      </c>
      <c r="J104" s="173">
        <f>I104/I272</f>
        <v>2.6230608005655032E-3</v>
      </c>
      <c r="N104" s="130">
        <v>3355.02</v>
      </c>
      <c r="O104" s="130">
        <v>0</v>
      </c>
      <c r="Q104" s="18">
        <f t="shared" si="17"/>
        <v>3355.02</v>
      </c>
      <c r="R104" s="276">
        <f t="shared" si="18"/>
        <v>1</v>
      </c>
      <c r="S104" s="276">
        <f t="shared" si="19"/>
        <v>0</v>
      </c>
    </row>
    <row r="105" spans="1:19" ht="15.75" thickBot="1" x14ac:dyDescent="0.3">
      <c r="A105" s="208" t="s">
        <v>493</v>
      </c>
      <c r="B105" s="133" t="s">
        <v>216</v>
      </c>
      <c r="C105" s="33"/>
      <c r="D105" s="134"/>
      <c r="E105" s="135"/>
      <c r="F105" s="134"/>
      <c r="G105" s="135"/>
      <c r="H105" s="209"/>
      <c r="I105" s="210">
        <f>SUM(I103:I104)</f>
        <v>6689.42</v>
      </c>
      <c r="J105" s="179">
        <f>I105/I272</f>
        <v>4.1803170434854542E-3</v>
      </c>
      <c r="L105" s="129">
        <f>F103+F104</f>
        <v>5346.8298000000004</v>
      </c>
      <c r="M105" s="129"/>
      <c r="N105" s="282"/>
      <c r="O105" s="282"/>
      <c r="R105" s="276"/>
      <c r="S105" s="276"/>
    </row>
    <row r="106" spans="1:19" ht="15.75" thickBot="1" x14ac:dyDescent="0.3">
      <c r="A106" s="212" t="s">
        <v>494</v>
      </c>
      <c r="B106" s="31" t="s">
        <v>217</v>
      </c>
      <c r="C106" s="24"/>
      <c r="D106" s="136"/>
      <c r="E106" s="137"/>
      <c r="F106" s="136"/>
      <c r="G106" s="137"/>
      <c r="H106" s="213"/>
      <c r="I106" s="214">
        <f>I73+I79+I82+I86+I90+I94+I97+I101+I105</f>
        <v>367999.62999999995</v>
      </c>
      <c r="J106" s="215">
        <f>I106/I272</f>
        <v>0.22996838668903144</v>
      </c>
      <c r="L106" s="140">
        <f>L73+L79+L82+L86+L90+L94+L97+L101+L105</f>
        <v>294140.85879999999</v>
      </c>
      <c r="M106" s="277"/>
      <c r="N106" s="283"/>
      <c r="O106" s="283"/>
      <c r="R106" s="276"/>
      <c r="S106" s="276"/>
    </row>
    <row r="107" spans="1:19" x14ac:dyDescent="0.2">
      <c r="A107" s="207" t="s">
        <v>25</v>
      </c>
      <c r="B107" s="42" t="s">
        <v>72</v>
      </c>
      <c r="C107" s="45"/>
      <c r="D107" s="130"/>
      <c r="E107" s="131"/>
      <c r="F107" s="130"/>
      <c r="G107" s="131"/>
      <c r="H107" s="171"/>
      <c r="I107" s="172"/>
      <c r="J107" s="173"/>
      <c r="N107" s="130"/>
      <c r="O107" s="130"/>
      <c r="R107" s="276"/>
      <c r="S107" s="276"/>
    </row>
    <row r="108" spans="1:19" x14ac:dyDescent="0.2">
      <c r="A108" s="207" t="s">
        <v>22</v>
      </c>
      <c r="B108" s="42" t="s">
        <v>218</v>
      </c>
      <c r="C108" s="45"/>
      <c r="D108" s="130"/>
      <c r="E108" s="131"/>
      <c r="F108" s="130"/>
      <c r="G108" s="131"/>
      <c r="H108" s="171"/>
      <c r="I108" s="172"/>
      <c r="J108" s="173"/>
      <c r="N108" s="130"/>
      <c r="O108" s="130"/>
      <c r="R108" s="276"/>
      <c r="S108" s="276"/>
    </row>
    <row r="109" spans="1:19" ht="15" thickBot="1" x14ac:dyDescent="0.25">
      <c r="A109" s="207" t="s">
        <v>73</v>
      </c>
      <c r="B109" s="42" t="s">
        <v>219</v>
      </c>
      <c r="C109" s="45" t="s">
        <v>21</v>
      </c>
      <c r="D109" s="170">
        <v>1331.02</v>
      </c>
      <c r="E109" s="131">
        <v>14.82</v>
      </c>
      <c r="F109" s="130">
        <f>D109*E109*R109</f>
        <v>18976.991029392386</v>
      </c>
      <c r="G109" s="131">
        <f>D109*E109*S109</f>
        <v>748.72537060761681</v>
      </c>
      <c r="H109" s="171">
        <v>0.25109999999999999</v>
      </c>
      <c r="I109" s="172">
        <f t="shared" si="14"/>
        <v>24678.84</v>
      </c>
      <c r="J109" s="173">
        <f>I109/I272</f>
        <v>1.5422170452064687E-2</v>
      </c>
      <c r="N109" s="130">
        <v>18280.798280999999</v>
      </c>
      <c r="O109" s="130">
        <v>721.257519</v>
      </c>
      <c r="Q109" s="18">
        <f t="shared" si="17"/>
        <v>19002.055799999998</v>
      </c>
      <c r="R109" s="276">
        <f t="shared" si="18"/>
        <v>0.96204318487476503</v>
      </c>
      <c r="S109" s="276">
        <f t="shared" si="19"/>
        <v>3.7956815125235036E-2</v>
      </c>
    </row>
    <row r="110" spans="1:19" ht="15.75" thickBot="1" x14ac:dyDescent="0.3">
      <c r="A110" s="208" t="s">
        <v>492</v>
      </c>
      <c r="B110" s="133" t="s">
        <v>220</v>
      </c>
      <c r="C110" s="33"/>
      <c r="D110" s="134"/>
      <c r="E110" s="135"/>
      <c r="F110" s="134"/>
      <c r="G110" s="135"/>
      <c r="H110" s="209"/>
      <c r="I110" s="210">
        <f>SUM(I109)</f>
        <v>24678.84</v>
      </c>
      <c r="J110" s="179">
        <f>I110/I272</f>
        <v>1.5422170452064687E-2</v>
      </c>
      <c r="L110" s="129">
        <f>F109+G109</f>
        <v>19725.716400000001</v>
      </c>
      <c r="M110" s="129"/>
      <c r="N110" s="282"/>
      <c r="O110" s="282"/>
      <c r="R110" s="276"/>
      <c r="S110" s="276"/>
    </row>
    <row r="111" spans="1:19" x14ac:dyDescent="0.2">
      <c r="A111" s="207" t="s">
        <v>24</v>
      </c>
      <c r="B111" s="42" t="s">
        <v>221</v>
      </c>
      <c r="C111" s="45"/>
      <c r="D111" s="130"/>
      <c r="E111" s="131"/>
      <c r="F111" s="130"/>
      <c r="G111" s="131"/>
      <c r="H111" s="171"/>
      <c r="I111" s="172"/>
      <c r="J111" s="173"/>
      <c r="N111" s="130"/>
      <c r="O111" s="130"/>
      <c r="R111" s="276"/>
      <c r="S111" s="276"/>
    </row>
    <row r="112" spans="1:19" ht="15" thickBot="1" x14ac:dyDescent="0.25">
      <c r="A112" s="207" t="s">
        <v>222</v>
      </c>
      <c r="B112" s="42" t="s">
        <v>223</v>
      </c>
      <c r="C112" s="45" t="s">
        <v>21</v>
      </c>
      <c r="D112" s="130">
        <v>2875.44</v>
      </c>
      <c r="E112" s="131">
        <v>11.43</v>
      </c>
      <c r="F112" s="130">
        <f>D112*E112*R112</f>
        <v>26076.215183999993</v>
      </c>
      <c r="G112" s="131">
        <f>D112*E112*S112</f>
        <v>6790.0640159999984</v>
      </c>
      <c r="H112" s="171">
        <v>0.25109999999999999</v>
      </c>
      <c r="I112" s="172">
        <f t="shared" si="14"/>
        <v>41119</v>
      </c>
      <c r="J112" s="173">
        <f>I112/I272</f>
        <v>2.5695868477547883E-2</v>
      </c>
      <c r="N112" s="130">
        <v>26076.215184000001</v>
      </c>
      <c r="O112" s="130">
        <v>6790.0640160000003</v>
      </c>
      <c r="Q112" s="18">
        <f t="shared" si="17"/>
        <v>32866.279200000004</v>
      </c>
      <c r="R112" s="276">
        <f t="shared" si="18"/>
        <v>0.79340332458442686</v>
      </c>
      <c r="S112" s="276">
        <f t="shared" si="19"/>
        <v>0.20659667541557303</v>
      </c>
    </row>
    <row r="113" spans="1:19" ht="15.75" thickBot="1" x14ac:dyDescent="0.3">
      <c r="A113" s="208" t="s">
        <v>490</v>
      </c>
      <c r="B113" s="133" t="s">
        <v>421</v>
      </c>
      <c r="C113" s="33"/>
      <c r="D113" s="134"/>
      <c r="E113" s="135"/>
      <c r="F113" s="134"/>
      <c r="G113" s="135"/>
      <c r="H113" s="209"/>
      <c r="I113" s="210">
        <f>SUM(I112)</f>
        <v>41119</v>
      </c>
      <c r="J113" s="179">
        <f>I113/I272</f>
        <v>2.5695868477547883E-2</v>
      </c>
      <c r="L113" s="129">
        <f>F112+G112</f>
        <v>32866.27919999999</v>
      </c>
      <c r="M113" s="129"/>
      <c r="N113" s="282"/>
      <c r="O113" s="282"/>
      <c r="R113" s="276"/>
      <c r="S113" s="276"/>
    </row>
    <row r="114" spans="1:19" ht="15.75" thickBot="1" x14ac:dyDescent="0.3">
      <c r="A114" s="212" t="s">
        <v>491</v>
      </c>
      <c r="B114" s="31" t="s">
        <v>224</v>
      </c>
      <c r="C114" s="24"/>
      <c r="D114" s="136"/>
      <c r="E114" s="137"/>
      <c r="F114" s="136"/>
      <c r="G114" s="137"/>
      <c r="H114" s="213"/>
      <c r="I114" s="214">
        <f>I110+I113</f>
        <v>65797.84</v>
      </c>
      <c r="J114" s="215">
        <f>I114/I272</f>
        <v>4.111803892961257E-2</v>
      </c>
      <c r="L114" s="140">
        <f>L110+L113</f>
        <v>52591.995599999995</v>
      </c>
      <c r="M114" s="277"/>
      <c r="N114" s="283"/>
      <c r="O114" s="283"/>
      <c r="R114" s="276"/>
      <c r="S114" s="276"/>
    </row>
    <row r="115" spans="1:19" x14ac:dyDescent="0.2">
      <c r="A115" s="207" t="s">
        <v>41</v>
      </c>
      <c r="B115" s="42" t="s">
        <v>225</v>
      </c>
      <c r="C115" s="45"/>
      <c r="D115" s="130"/>
      <c r="E115" s="131"/>
      <c r="F115" s="130"/>
      <c r="G115" s="131"/>
      <c r="H115" s="171"/>
      <c r="I115" s="172"/>
      <c r="J115" s="173"/>
      <c r="N115" s="130"/>
      <c r="O115" s="130"/>
      <c r="R115" s="276"/>
      <c r="S115" s="276"/>
    </row>
    <row r="116" spans="1:19" x14ac:dyDescent="0.2">
      <c r="A116" s="207" t="s">
        <v>22</v>
      </c>
      <c r="B116" s="42" t="s">
        <v>226</v>
      </c>
      <c r="C116" s="45"/>
      <c r="D116" s="130"/>
      <c r="E116" s="131"/>
      <c r="F116" s="130"/>
      <c r="G116" s="131"/>
      <c r="H116" s="171"/>
      <c r="I116" s="172"/>
      <c r="J116" s="173"/>
      <c r="N116" s="130"/>
      <c r="O116" s="130"/>
      <c r="R116" s="276"/>
      <c r="S116" s="276"/>
    </row>
    <row r="117" spans="1:19" ht="15" thickBot="1" x14ac:dyDescent="0.25">
      <c r="A117" s="207" t="s">
        <v>227</v>
      </c>
      <c r="B117" s="42" t="s">
        <v>228</v>
      </c>
      <c r="C117" s="45" t="s">
        <v>229</v>
      </c>
      <c r="D117" s="130">
        <v>8</v>
      </c>
      <c r="E117" s="131">
        <v>9.6300000000000008</v>
      </c>
      <c r="F117" s="130">
        <f>D117*E117*R117</f>
        <v>77.040000000000006</v>
      </c>
      <c r="G117" s="131">
        <f>D117*E117*S117</f>
        <v>0</v>
      </c>
      <c r="H117" s="171">
        <v>0.25109999999999999</v>
      </c>
      <c r="I117" s="172">
        <f t="shared" si="14"/>
        <v>96.38</v>
      </c>
      <c r="J117" s="173">
        <f>I117/I272</f>
        <v>6.0229280961746763E-5</v>
      </c>
      <c r="N117" s="130">
        <v>77.040000000000006</v>
      </c>
      <c r="O117" s="130">
        <v>0</v>
      </c>
      <c r="Q117" s="18">
        <f t="shared" si="17"/>
        <v>77.040000000000006</v>
      </c>
      <c r="R117" s="276">
        <f t="shared" si="18"/>
        <v>1</v>
      </c>
      <c r="S117" s="276">
        <f t="shared" si="19"/>
        <v>0</v>
      </c>
    </row>
    <row r="118" spans="1:19" ht="15.75" thickBot="1" x14ac:dyDescent="0.3">
      <c r="A118" s="208" t="s">
        <v>488</v>
      </c>
      <c r="B118" s="133" t="s">
        <v>230</v>
      </c>
      <c r="C118" s="33"/>
      <c r="D118" s="134"/>
      <c r="E118" s="135"/>
      <c r="F118" s="134"/>
      <c r="G118" s="135"/>
      <c r="H118" s="209"/>
      <c r="I118" s="210">
        <f>SUM(I117)</f>
        <v>96.38</v>
      </c>
      <c r="J118" s="179">
        <f>I118/I272</f>
        <v>6.0229280961746763E-5</v>
      </c>
      <c r="L118" s="129">
        <f>F117</f>
        <v>77.040000000000006</v>
      </c>
      <c r="M118" s="129"/>
      <c r="N118" s="282"/>
      <c r="O118" s="282"/>
      <c r="R118" s="276"/>
      <c r="S118" s="276"/>
    </row>
    <row r="119" spans="1:19" ht="15.75" thickBot="1" x14ac:dyDescent="0.3">
      <c r="A119" s="212" t="s">
        <v>489</v>
      </c>
      <c r="B119" s="31" t="s">
        <v>231</v>
      </c>
      <c r="C119" s="24"/>
      <c r="D119" s="136"/>
      <c r="E119" s="137"/>
      <c r="F119" s="136"/>
      <c r="G119" s="137"/>
      <c r="H119" s="213"/>
      <c r="I119" s="214">
        <f>I118</f>
        <v>96.38</v>
      </c>
      <c r="J119" s="215">
        <f>I119/I272</f>
        <v>6.0229280961746763E-5</v>
      </c>
      <c r="L119" s="140">
        <f>F117</f>
        <v>77.040000000000006</v>
      </c>
      <c r="M119" s="277"/>
      <c r="N119" s="283"/>
      <c r="O119" s="283"/>
      <c r="R119" s="276"/>
      <c r="S119" s="276"/>
    </row>
    <row r="120" spans="1:19" x14ac:dyDescent="0.2">
      <c r="A120" s="207" t="s">
        <v>232</v>
      </c>
      <c r="B120" s="42" t="s">
        <v>233</v>
      </c>
      <c r="C120" s="45"/>
      <c r="D120" s="130"/>
      <c r="E120" s="131"/>
      <c r="F120" s="130"/>
      <c r="G120" s="131"/>
      <c r="H120" s="171"/>
      <c r="I120" s="172"/>
      <c r="J120" s="173"/>
      <c r="N120" s="130"/>
      <c r="O120" s="130"/>
      <c r="R120" s="276"/>
      <c r="S120" s="276"/>
    </row>
    <row r="121" spans="1:19" x14ac:dyDescent="0.2">
      <c r="A121" s="207" t="s">
        <v>22</v>
      </c>
      <c r="B121" s="42" t="s">
        <v>234</v>
      </c>
      <c r="C121" s="45"/>
      <c r="D121" s="130"/>
      <c r="E121" s="131"/>
      <c r="F121" s="130"/>
      <c r="G121" s="131"/>
      <c r="H121" s="171"/>
      <c r="I121" s="172"/>
      <c r="J121" s="173"/>
      <c r="N121" s="130"/>
      <c r="O121" s="130"/>
      <c r="R121" s="276"/>
      <c r="S121" s="276"/>
    </row>
    <row r="122" spans="1:19" ht="15" thickBot="1" x14ac:dyDescent="0.25">
      <c r="A122" s="207" t="s">
        <v>235</v>
      </c>
      <c r="B122" s="42" t="s">
        <v>236</v>
      </c>
      <c r="C122" s="45" t="s">
        <v>31</v>
      </c>
      <c r="D122" s="130">
        <v>24</v>
      </c>
      <c r="E122" s="131">
        <v>83.68</v>
      </c>
      <c r="F122" s="130">
        <f>D122*E122*R122</f>
        <v>2008.3200000000002</v>
      </c>
      <c r="G122" s="131">
        <f>D122*E122*S122</f>
        <v>0</v>
      </c>
      <c r="H122" s="171">
        <v>0.25109999999999999</v>
      </c>
      <c r="I122" s="172">
        <f t="shared" si="14"/>
        <v>2512.61</v>
      </c>
      <c r="J122" s="173">
        <f>I122/I272</f>
        <v>1.5701669810883434E-3</v>
      </c>
      <c r="N122" s="130">
        <v>2008.32</v>
      </c>
      <c r="O122" s="130">
        <v>0</v>
      </c>
      <c r="Q122" s="18">
        <f t="shared" si="17"/>
        <v>2008.32</v>
      </c>
      <c r="R122" s="276">
        <f t="shared" si="18"/>
        <v>1</v>
      </c>
      <c r="S122" s="276">
        <f t="shared" si="19"/>
        <v>0</v>
      </c>
    </row>
    <row r="123" spans="1:19" ht="15.75" thickBot="1" x14ac:dyDescent="0.3">
      <c r="A123" s="208" t="s">
        <v>487</v>
      </c>
      <c r="B123" s="133" t="s">
        <v>237</v>
      </c>
      <c r="C123" s="33"/>
      <c r="D123" s="134"/>
      <c r="E123" s="135"/>
      <c r="F123" s="134"/>
      <c r="G123" s="135"/>
      <c r="H123" s="209"/>
      <c r="I123" s="210">
        <f>SUM(I122)</f>
        <v>2512.61</v>
      </c>
      <c r="J123" s="179">
        <f>I123/I272</f>
        <v>1.5701669810883434E-3</v>
      </c>
      <c r="L123" s="129">
        <f>F122</f>
        <v>2008.3200000000002</v>
      </c>
      <c r="M123" s="129"/>
      <c r="N123" s="282"/>
      <c r="O123" s="282"/>
      <c r="R123" s="276"/>
      <c r="S123" s="276"/>
    </row>
    <row r="124" spans="1:19" x14ac:dyDescent="0.2">
      <c r="A124" s="207" t="s">
        <v>85</v>
      </c>
      <c r="B124" s="42" t="s">
        <v>238</v>
      </c>
      <c r="C124" s="45"/>
      <c r="D124" s="130"/>
      <c r="E124" s="131"/>
      <c r="F124" s="130"/>
      <c r="G124" s="131"/>
      <c r="H124" s="171"/>
      <c r="I124" s="172"/>
      <c r="J124" s="173"/>
      <c r="N124" s="130"/>
      <c r="O124" s="130"/>
      <c r="R124" s="276"/>
      <c r="S124" s="276"/>
    </row>
    <row r="125" spans="1:19" ht="15" thickBot="1" x14ac:dyDescent="0.25">
      <c r="A125" s="207" t="s">
        <v>239</v>
      </c>
      <c r="B125" s="42" t="s">
        <v>240</v>
      </c>
      <c r="C125" s="45" t="s">
        <v>21</v>
      </c>
      <c r="D125" s="130">
        <v>11.52</v>
      </c>
      <c r="E125" s="131">
        <v>83.86</v>
      </c>
      <c r="F125" s="130">
        <f>D125*E125*R125</f>
        <v>786.65817600000003</v>
      </c>
      <c r="G125" s="131">
        <f>D125*E125*S125</f>
        <v>179.40902399999999</v>
      </c>
      <c r="H125" s="171">
        <v>0.25109999999999999</v>
      </c>
      <c r="I125" s="172">
        <f t="shared" si="14"/>
        <v>1208.6500000000001</v>
      </c>
      <c r="J125" s="173">
        <f>I125/I272</f>
        <v>7.5530317943987586E-4</v>
      </c>
      <c r="N125" s="130">
        <v>786.65817600000003</v>
      </c>
      <c r="O125" s="130">
        <v>179.40902399999999</v>
      </c>
      <c r="Q125" s="18">
        <f t="shared" si="17"/>
        <v>966.06719999999996</v>
      </c>
      <c r="R125" s="276">
        <f t="shared" si="18"/>
        <v>0.81428929167660391</v>
      </c>
      <c r="S125" s="276">
        <f t="shared" si="19"/>
        <v>0.18571070832339615</v>
      </c>
    </row>
    <row r="126" spans="1:19" ht="15.75" thickBot="1" x14ac:dyDescent="0.3">
      <c r="A126" s="208" t="s">
        <v>486</v>
      </c>
      <c r="B126" s="133" t="s">
        <v>241</v>
      </c>
      <c r="C126" s="33"/>
      <c r="D126" s="134"/>
      <c r="E126" s="135"/>
      <c r="F126" s="134"/>
      <c r="G126" s="135"/>
      <c r="H126" s="209"/>
      <c r="I126" s="210">
        <f>SUM(I125)</f>
        <v>1208.6500000000001</v>
      </c>
      <c r="J126" s="179">
        <f>I126/I272</f>
        <v>7.5530317943987586E-4</v>
      </c>
      <c r="L126" s="129">
        <f>F125+G125</f>
        <v>966.06719999999996</v>
      </c>
      <c r="M126" s="129"/>
      <c r="N126" s="282"/>
      <c r="O126" s="282"/>
      <c r="R126" s="276"/>
      <c r="S126" s="276"/>
    </row>
    <row r="127" spans="1:19" x14ac:dyDescent="0.2">
      <c r="A127" s="207" t="s">
        <v>67</v>
      </c>
      <c r="B127" s="42" t="s">
        <v>242</v>
      </c>
      <c r="C127" s="45"/>
      <c r="D127" s="130"/>
      <c r="E127" s="131"/>
      <c r="F127" s="130"/>
      <c r="G127" s="131"/>
      <c r="H127" s="171"/>
      <c r="I127" s="172"/>
      <c r="J127" s="173"/>
      <c r="N127" s="130"/>
      <c r="O127" s="130"/>
      <c r="R127" s="276"/>
      <c r="S127" s="276"/>
    </row>
    <row r="128" spans="1:19" x14ac:dyDescent="0.2">
      <c r="A128" s="207" t="s">
        <v>243</v>
      </c>
      <c r="B128" s="42" t="s">
        <v>244</v>
      </c>
      <c r="C128" s="45" t="s">
        <v>245</v>
      </c>
      <c r="D128" s="130">
        <v>103.68</v>
      </c>
      <c r="E128" s="131">
        <v>13.26</v>
      </c>
      <c r="F128" s="130">
        <f>D128*E128*R128</f>
        <v>643.27219200000002</v>
      </c>
      <c r="G128" s="131">
        <f>D128*E128*S128</f>
        <v>731.52460799999994</v>
      </c>
      <c r="H128" s="171">
        <v>0.25109999999999999</v>
      </c>
      <c r="I128" s="172">
        <f t="shared" si="14"/>
        <v>1720.01</v>
      </c>
      <c r="J128" s="173">
        <f>I128/I272</f>
        <v>1.0748595719756594E-3</v>
      </c>
      <c r="N128" s="130">
        <v>643.27219200000002</v>
      </c>
      <c r="O128" s="130">
        <v>731.52460799999994</v>
      </c>
      <c r="Q128" s="18">
        <f t="shared" si="17"/>
        <v>1374.7968000000001</v>
      </c>
      <c r="R128" s="276">
        <f t="shared" si="18"/>
        <v>0.46790346907993968</v>
      </c>
      <c r="S128" s="276">
        <f t="shared" si="19"/>
        <v>0.53209653092006026</v>
      </c>
    </row>
    <row r="129" spans="1:19" ht="15" thickBot="1" x14ac:dyDescent="0.25">
      <c r="A129" s="207" t="s">
        <v>246</v>
      </c>
      <c r="B129" s="42" t="s">
        <v>247</v>
      </c>
      <c r="C129" s="45" t="s">
        <v>245</v>
      </c>
      <c r="D129" s="130">
        <v>11.52</v>
      </c>
      <c r="E129" s="131">
        <v>13.86</v>
      </c>
      <c r="F129" s="130">
        <f>D129*E129*R129</f>
        <v>71.491968</v>
      </c>
      <c r="G129" s="131">
        <f>D129*E129*S129</f>
        <v>88.175231999999994</v>
      </c>
      <c r="H129" s="171">
        <v>0.25109999999999999</v>
      </c>
      <c r="I129" s="172">
        <f t="shared" si="14"/>
        <v>199.76</v>
      </c>
      <c r="J129" s="173">
        <f>I129/I272</f>
        <v>1.248329649815162E-4</v>
      </c>
      <c r="N129" s="130">
        <v>71.491968</v>
      </c>
      <c r="O129" s="130">
        <v>88.175231999999994</v>
      </c>
      <c r="Q129" s="18">
        <f t="shared" si="17"/>
        <v>159.66719999999998</v>
      </c>
      <c r="R129" s="276">
        <f t="shared" si="18"/>
        <v>0.4477561327561328</v>
      </c>
      <c r="S129" s="276">
        <f t="shared" si="19"/>
        <v>0.55224386724386731</v>
      </c>
    </row>
    <row r="130" spans="1:19" ht="15.75" thickBot="1" x14ac:dyDescent="0.3">
      <c r="A130" s="208" t="s">
        <v>485</v>
      </c>
      <c r="B130" s="133" t="s">
        <v>248</v>
      </c>
      <c r="C130" s="33"/>
      <c r="D130" s="134"/>
      <c r="E130" s="135"/>
      <c r="F130" s="134"/>
      <c r="G130" s="135"/>
      <c r="H130" s="209"/>
      <c r="I130" s="210">
        <f>SUM(I128:I129)</f>
        <v>1919.77</v>
      </c>
      <c r="J130" s="179">
        <f>I130/I272</f>
        <v>1.1996925369571756E-3</v>
      </c>
      <c r="L130" s="129">
        <f>F128+F129+G128+G129</f>
        <v>1534.4639999999999</v>
      </c>
      <c r="M130" s="129"/>
      <c r="N130" s="282"/>
      <c r="O130" s="282"/>
      <c r="R130" s="276"/>
      <c r="S130" s="276"/>
    </row>
    <row r="131" spans="1:19" x14ac:dyDescent="0.2">
      <c r="A131" s="207" t="s">
        <v>102</v>
      </c>
      <c r="B131" s="42" t="s">
        <v>249</v>
      </c>
      <c r="C131" s="45"/>
      <c r="D131" s="130"/>
      <c r="E131" s="131"/>
      <c r="F131" s="130"/>
      <c r="G131" s="131"/>
      <c r="H131" s="171"/>
      <c r="I131" s="172"/>
      <c r="J131" s="173"/>
      <c r="N131" s="130"/>
      <c r="O131" s="130"/>
      <c r="R131" s="276"/>
      <c r="S131" s="276"/>
    </row>
    <row r="132" spans="1:19" ht="15" thickBot="1" x14ac:dyDescent="0.25">
      <c r="A132" s="207" t="s">
        <v>250</v>
      </c>
      <c r="B132" s="42" t="s">
        <v>251</v>
      </c>
      <c r="C132" s="45" t="s">
        <v>8</v>
      </c>
      <c r="D132" s="130">
        <v>46</v>
      </c>
      <c r="E132" s="131">
        <v>0.69</v>
      </c>
      <c r="F132" s="130">
        <f>D132*E132*R132</f>
        <v>0</v>
      </c>
      <c r="G132" s="131">
        <f>D132*E132*S132</f>
        <v>31.74</v>
      </c>
      <c r="H132" s="171">
        <v>0.25109999999999999</v>
      </c>
      <c r="I132" s="172">
        <f t="shared" si="14"/>
        <v>39.71</v>
      </c>
      <c r="J132" s="173">
        <f>I132/I272</f>
        <v>2.4815363633440174E-5</v>
      </c>
      <c r="N132" s="130">
        <v>0</v>
      </c>
      <c r="O132" s="130">
        <v>31.74</v>
      </c>
      <c r="Q132" s="18">
        <f t="shared" si="17"/>
        <v>31.74</v>
      </c>
      <c r="R132" s="276">
        <f t="shared" si="18"/>
        <v>0</v>
      </c>
      <c r="S132" s="276">
        <f t="shared" si="19"/>
        <v>1</v>
      </c>
    </row>
    <row r="133" spans="1:19" ht="15.75" thickBot="1" x14ac:dyDescent="0.3">
      <c r="A133" s="208" t="s">
        <v>484</v>
      </c>
      <c r="B133" s="133" t="s">
        <v>252</v>
      </c>
      <c r="C133" s="33"/>
      <c r="D133" s="134"/>
      <c r="E133" s="135"/>
      <c r="F133" s="134"/>
      <c r="G133" s="135"/>
      <c r="H133" s="209"/>
      <c r="I133" s="210">
        <f>SUM(I132)</f>
        <v>39.71</v>
      </c>
      <c r="J133" s="179">
        <f>I133/I272</f>
        <v>2.4815363633440174E-5</v>
      </c>
      <c r="L133" s="129">
        <f>G132</f>
        <v>31.74</v>
      </c>
      <c r="M133" s="129"/>
      <c r="N133" s="282"/>
      <c r="O133" s="282"/>
      <c r="R133" s="276"/>
      <c r="S133" s="276"/>
    </row>
    <row r="134" spans="1:19" x14ac:dyDescent="0.2">
      <c r="A134" s="207" t="s">
        <v>253</v>
      </c>
      <c r="B134" s="42" t="s">
        <v>254</v>
      </c>
      <c r="C134" s="45"/>
      <c r="D134" s="130"/>
      <c r="E134" s="131"/>
      <c r="F134" s="130"/>
      <c r="G134" s="131"/>
      <c r="H134" s="171"/>
      <c r="I134" s="172"/>
      <c r="J134" s="173"/>
      <c r="N134" s="130"/>
      <c r="O134" s="130"/>
      <c r="R134" s="276"/>
      <c r="S134" s="276"/>
    </row>
    <row r="135" spans="1:19" x14ac:dyDescent="0.2">
      <c r="A135" s="207" t="s">
        <v>255</v>
      </c>
      <c r="B135" s="42" t="s">
        <v>256</v>
      </c>
      <c r="C135" s="45" t="s">
        <v>36</v>
      </c>
      <c r="D135" s="130">
        <v>0.19</v>
      </c>
      <c r="E135" s="131">
        <v>581.91999999999996</v>
      </c>
      <c r="F135" s="130">
        <f>D135*E135*R135</f>
        <v>65.623720000000006</v>
      </c>
      <c r="G135" s="131">
        <f>D135*E135*S135</f>
        <v>44.941079999999992</v>
      </c>
      <c r="H135" s="171">
        <v>0.25109999999999999</v>
      </c>
      <c r="I135" s="172">
        <f t="shared" si="14"/>
        <v>138.33000000000001</v>
      </c>
      <c r="J135" s="173">
        <f>I135/I272</f>
        <v>8.6444453573754213E-5</v>
      </c>
      <c r="N135" s="130">
        <v>65.623720000000006</v>
      </c>
      <c r="O135" s="130">
        <v>44.941079999999999</v>
      </c>
      <c r="Q135" s="18">
        <f t="shared" si="17"/>
        <v>110.56480000000001</v>
      </c>
      <c r="R135" s="276">
        <f t="shared" si="18"/>
        <v>0.59353175694253513</v>
      </c>
      <c r="S135" s="276">
        <f t="shared" si="19"/>
        <v>0.40646824305746493</v>
      </c>
    </row>
    <row r="136" spans="1:19" ht="15" thickBot="1" x14ac:dyDescent="0.25">
      <c r="A136" s="207" t="s">
        <v>257</v>
      </c>
      <c r="B136" s="42" t="s">
        <v>258</v>
      </c>
      <c r="C136" s="45" t="s">
        <v>36</v>
      </c>
      <c r="D136" s="130">
        <v>2.2999999999999998</v>
      </c>
      <c r="E136" s="131">
        <v>800.88</v>
      </c>
      <c r="F136" s="130">
        <f>D136*E136*R136</f>
        <v>1055.4515999999999</v>
      </c>
      <c r="G136" s="131">
        <f>D136*E136*S136</f>
        <v>786.5723999999999</v>
      </c>
      <c r="H136" s="171">
        <v>0.25109999999999999</v>
      </c>
      <c r="I136" s="172">
        <f t="shared" si="14"/>
        <v>2304.56</v>
      </c>
      <c r="J136" s="173">
        <f>I136/I272</f>
        <v>1.440153473056683E-3</v>
      </c>
      <c r="N136" s="130">
        <v>1055.4516000000001</v>
      </c>
      <c r="O136" s="130">
        <v>786.57240000000002</v>
      </c>
      <c r="Q136" s="18">
        <f t="shared" si="17"/>
        <v>1842.0240000000001</v>
      </c>
      <c r="R136" s="276">
        <f t="shared" si="18"/>
        <v>0.57298471681150731</v>
      </c>
      <c r="S136" s="276">
        <f t="shared" si="19"/>
        <v>0.42701528318849263</v>
      </c>
    </row>
    <row r="137" spans="1:19" ht="15.75" thickBot="1" x14ac:dyDescent="0.3">
      <c r="A137" s="208" t="s">
        <v>482</v>
      </c>
      <c r="B137" s="133" t="s">
        <v>259</v>
      </c>
      <c r="C137" s="33"/>
      <c r="D137" s="134"/>
      <c r="E137" s="135"/>
      <c r="F137" s="134"/>
      <c r="G137" s="135"/>
      <c r="H137" s="209"/>
      <c r="I137" s="210">
        <f>SUM(I135:I136)</f>
        <v>2442.89</v>
      </c>
      <c r="J137" s="179">
        <f>I137/I272</f>
        <v>1.5265979266304373E-3</v>
      </c>
      <c r="L137" s="129">
        <f>F135+F136+G135+G136</f>
        <v>1952.5888</v>
      </c>
      <c r="M137" s="129"/>
      <c r="N137" s="282"/>
      <c r="O137" s="282"/>
      <c r="R137" s="276"/>
      <c r="S137" s="276"/>
    </row>
    <row r="138" spans="1:19" ht="15.75" thickBot="1" x14ac:dyDescent="0.3">
      <c r="A138" s="212" t="s">
        <v>483</v>
      </c>
      <c r="B138" s="31" t="s">
        <v>260</v>
      </c>
      <c r="C138" s="24"/>
      <c r="D138" s="136"/>
      <c r="E138" s="137"/>
      <c r="F138" s="136"/>
      <c r="G138" s="137"/>
      <c r="H138" s="213"/>
      <c r="I138" s="214">
        <f>I123+I126+I130+I133+I137</f>
        <v>8123.630000000001</v>
      </c>
      <c r="J138" s="215">
        <f>I138/I272</f>
        <v>5.0765759877492728E-3</v>
      </c>
      <c r="L138" s="140">
        <f>L123+L126+L130+L133+L137</f>
        <v>6493.18</v>
      </c>
      <c r="M138" s="277"/>
      <c r="N138" s="283"/>
      <c r="O138" s="283"/>
      <c r="R138" s="276"/>
      <c r="S138" s="276"/>
    </row>
    <row r="139" spans="1:19" x14ac:dyDescent="0.2">
      <c r="A139" s="207" t="s">
        <v>45</v>
      </c>
      <c r="B139" s="42" t="s">
        <v>74</v>
      </c>
      <c r="C139" s="45"/>
      <c r="D139" s="130"/>
      <c r="E139" s="131"/>
      <c r="F139" s="130"/>
      <c r="G139" s="131"/>
      <c r="H139" s="171"/>
      <c r="I139" s="172"/>
      <c r="J139" s="173"/>
      <c r="N139" s="130"/>
      <c r="O139" s="130"/>
      <c r="R139" s="276"/>
      <c r="S139" s="276"/>
    </row>
    <row r="140" spans="1:19" x14ac:dyDescent="0.2">
      <c r="A140" s="207" t="s">
        <v>23</v>
      </c>
      <c r="B140" s="42" t="s">
        <v>75</v>
      </c>
      <c r="C140" s="45"/>
      <c r="D140" s="130"/>
      <c r="E140" s="131"/>
      <c r="F140" s="130"/>
      <c r="G140" s="131"/>
      <c r="H140" s="171"/>
      <c r="I140" s="172"/>
      <c r="J140" s="173"/>
      <c r="N140" s="130"/>
      <c r="O140" s="130"/>
      <c r="R140" s="276"/>
      <c r="S140" s="276"/>
    </row>
    <row r="141" spans="1:19" x14ac:dyDescent="0.2">
      <c r="A141" s="207" t="s">
        <v>76</v>
      </c>
      <c r="B141" s="42" t="s">
        <v>77</v>
      </c>
      <c r="C141" s="45" t="s">
        <v>31</v>
      </c>
      <c r="D141" s="170">
        <v>6939.08</v>
      </c>
      <c r="E141" s="131">
        <v>8.23</v>
      </c>
      <c r="F141" s="130">
        <f>D141*E141*R141</f>
        <v>54247.298762000006</v>
      </c>
      <c r="G141" s="131">
        <f>D141*E141*S141</f>
        <v>2861.3296380000002</v>
      </c>
      <c r="H141" s="171">
        <v>0.25109999999999999</v>
      </c>
      <c r="I141" s="172">
        <f t="shared" si="14"/>
        <v>71448.600000000006</v>
      </c>
      <c r="J141" s="173">
        <f>I141/I272</f>
        <v>4.4649282047348623E-2</v>
      </c>
      <c r="N141" s="130">
        <v>50738.424736000001</v>
      </c>
      <c r="O141" s="130">
        <v>2676.2504640000002</v>
      </c>
      <c r="Q141" s="18">
        <f t="shared" si="17"/>
        <v>53414.675199999998</v>
      </c>
      <c r="R141" s="276">
        <f t="shared" si="18"/>
        <v>0.94989671931956265</v>
      </c>
      <c r="S141" s="276">
        <f t="shared" si="19"/>
        <v>5.0103280680437429E-2</v>
      </c>
    </row>
    <row r="142" spans="1:19" ht="15" thickBot="1" x14ac:dyDescent="0.25">
      <c r="A142" s="207" t="s">
        <v>261</v>
      </c>
      <c r="B142" s="42" t="s">
        <v>262</v>
      </c>
      <c r="C142" s="45" t="s">
        <v>31</v>
      </c>
      <c r="D142" s="130">
        <v>435.68</v>
      </c>
      <c r="E142" s="131">
        <v>9.68</v>
      </c>
      <c r="F142" s="130">
        <f>D142*E142*R142</f>
        <v>3987.8574619999999</v>
      </c>
      <c r="G142" s="131">
        <f>D142*E142*S142</f>
        <v>229.52493799999999</v>
      </c>
      <c r="H142" s="171">
        <v>0.25109999999999999</v>
      </c>
      <c r="I142" s="172">
        <f t="shared" si="14"/>
        <v>5276.37</v>
      </c>
      <c r="J142" s="173">
        <f>I142/I272</f>
        <v>3.2972812947513154E-3</v>
      </c>
      <c r="N142" s="130">
        <v>3987.8574619999999</v>
      </c>
      <c r="O142" s="130">
        <v>229.52493799999999</v>
      </c>
      <c r="Q142" s="18">
        <f t="shared" si="17"/>
        <v>4217.3823999999995</v>
      </c>
      <c r="R142" s="276">
        <f t="shared" si="18"/>
        <v>0.94557644618614622</v>
      </c>
      <c r="S142" s="276">
        <f t="shared" si="19"/>
        <v>5.4423553813853831E-2</v>
      </c>
    </row>
    <row r="143" spans="1:19" ht="15.75" thickBot="1" x14ac:dyDescent="0.3">
      <c r="A143" s="208" t="s">
        <v>481</v>
      </c>
      <c r="B143" s="133" t="s">
        <v>263</v>
      </c>
      <c r="C143" s="33"/>
      <c r="D143" s="134"/>
      <c r="E143" s="135"/>
      <c r="F143" s="134"/>
      <c r="G143" s="135"/>
      <c r="H143" s="209"/>
      <c r="I143" s="210">
        <f>SUM(I141:I142)</f>
        <v>76724.97</v>
      </c>
      <c r="J143" s="179">
        <f>I143/I272</f>
        <v>4.7946563342099936E-2</v>
      </c>
      <c r="L143" s="129">
        <f>F141+F142+G141+G142</f>
        <v>61326.010800000011</v>
      </c>
      <c r="M143" s="129"/>
      <c r="N143" s="282"/>
      <c r="O143" s="282"/>
      <c r="R143" s="276"/>
      <c r="S143" s="276"/>
    </row>
    <row r="144" spans="1:19" x14ac:dyDescent="0.2">
      <c r="A144" s="207" t="s">
        <v>27</v>
      </c>
      <c r="B144" s="42" t="s">
        <v>264</v>
      </c>
      <c r="C144" s="45"/>
      <c r="D144" s="130"/>
      <c r="E144" s="131"/>
      <c r="F144" s="130"/>
      <c r="G144" s="131"/>
      <c r="H144" s="171"/>
      <c r="I144" s="172"/>
      <c r="J144" s="173"/>
      <c r="N144" s="130"/>
      <c r="O144" s="130"/>
      <c r="R144" s="276"/>
      <c r="S144" s="276"/>
    </row>
    <row r="145" spans="1:19" x14ac:dyDescent="0.2">
      <c r="A145" s="207" t="s">
        <v>265</v>
      </c>
      <c r="B145" s="42" t="s">
        <v>77</v>
      </c>
      <c r="C145" s="45" t="s">
        <v>31</v>
      </c>
      <c r="D145" s="130">
        <v>11.69</v>
      </c>
      <c r="E145" s="131">
        <v>12.81</v>
      </c>
      <c r="F145" s="130">
        <f>D145*E145*R145</f>
        <v>144.928528</v>
      </c>
      <c r="G145" s="131">
        <f>D145*E145*S145</f>
        <v>4.8203719999999999</v>
      </c>
      <c r="H145" s="171">
        <v>0.25109999999999999</v>
      </c>
      <c r="I145" s="172">
        <f t="shared" si="14"/>
        <v>187.35</v>
      </c>
      <c r="J145" s="173">
        <f>I145/I272</f>
        <v>1.1707777327436455E-4</v>
      </c>
      <c r="N145" s="130">
        <v>144.928528</v>
      </c>
      <c r="O145" s="130">
        <v>4.8203719999999999</v>
      </c>
      <c r="Q145" s="18">
        <f t="shared" si="17"/>
        <v>149.74889999999999</v>
      </c>
      <c r="R145" s="276">
        <f t="shared" si="18"/>
        <v>0.96781030111072608</v>
      </c>
      <c r="S145" s="276">
        <f t="shared" si="19"/>
        <v>3.2189698889273977E-2</v>
      </c>
    </row>
    <row r="146" spans="1:19" ht="15" thickBot="1" x14ac:dyDescent="0.25">
      <c r="A146" s="207" t="s">
        <v>266</v>
      </c>
      <c r="B146" s="42" t="s">
        <v>262</v>
      </c>
      <c r="C146" s="45" t="s">
        <v>31</v>
      </c>
      <c r="D146" s="130">
        <v>72.55</v>
      </c>
      <c r="E146" s="131">
        <v>16.41</v>
      </c>
      <c r="F146" s="130">
        <f>D146*E146*R146</f>
        <v>1150.98471</v>
      </c>
      <c r="G146" s="131">
        <f>D146*E146*S146</f>
        <v>39.560789999999997</v>
      </c>
      <c r="H146" s="171">
        <v>0.25109999999999999</v>
      </c>
      <c r="I146" s="172">
        <f t="shared" si="14"/>
        <v>1489.49</v>
      </c>
      <c r="J146" s="173">
        <f>I146/I272</f>
        <v>9.3080423012774631E-4</v>
      </c>
      <c r="N146" s="130">
        <v>1150.98471</v>
      </c>
      <c r="O146" s="130">
        <v>39.560789999999997</v>
      </c>
      <c r="Q146" s="18">
        <f t="shared" si="17"/>
        <v>1190.5454999999999</v>
      </c>
      <c r="R146" s="276">
        <f t="shared" si="18"/>
        <v>0.96677087099989034</v>
      </c>
      <c r="S146" s="276">
        <f t="shared" si="19"/>
        <v>3.322912900010961E-2</v>
      </c>
    </row>
    <row r="147" spans="1:19" ht="15.75" thickBot="1" x14ac:dyDescent="0.3">
      <c r="A147" s="208" t="s">
        <v>480</v>
      </c>
      <c r="B147" s="133" t="s">
        <v>267</v>
      </c>
      <c r="C147" s="33"/>
      <c r="D147" s="134"/>
      <c r="E147" s="135"/>
      <c r="F147" s="134"/>
      <c r="G147" s="135"/>
      <c r="H147" s="209"/>
      <c r="I147" s="210">
        <f>SUM(I145:I146)</f>
        <v>1676.84</v>
      </c>
      <c r="J147" s="179">
        <f>I147/I272</f>
        <v>1.0478820034021108E-3</v>
      </c>
      <c r="L147" s="129">
        <f>F145+F146+G145+G146</f>
        <v>1340.2943999999998</v>
      </c>
      <c r="M147" s="129"/>
      <c r="N147" s="282"/>
      <c r="O147" s="282"/>
      <c r="R147" s="276"/>
      <c r="S147" s="276"/>
    </row>
    <row r="148" spans="1:19" x14ac:dyDescent="0.2">
      <c r="A148" s="207" t="s">
        <v>54</v>
      </c>
      <c r="B148" s="42" t="s">
        <v>78</v>
      </c>
      <c r="C148" s="45"/>
      <c r="D148" s="130"/>
      <c r="E148" s="131"/>
      <c r="F148" s="130"/>
      <c r="G148" s="131"/>
      <c r="H148" s="171"/>
      <c r="I148" s="172"/>
      <c r="J148" s="173"/>
      <c r="N148" s="130"/>
      <c r="O148" s="130"/>
      <c r="R148" s="276"/>
      <c r="S148" s="276"/>
    </row>
    <row r="149" spans="1:19" ht="15" thickBot="1" x14ac:dyDescent="0.25">
      <c r="A149" s="207" t="s">
        <v>79</v>
      </c>
      <c r="B149" s="42" t="s">
        <v>80</v>
      </c>
      <c r="C149" s="45" t="s">
        <v>8</v>
      </c>
      <c r="D149" s="170">
        <v>44</v>
      </c>
      <c r="E149" s="131">
        <v>55.21</v>
      </c>
      <c r="F149" s="130">
        <f>D149*E149*R149</f>
        <v>1598.2120000000002</v>
      </c>
      <c r="G149" s="131">
        <f>D149*E149*S149</f>
        <v>831.02800000000013</v>
      </c>
      <c r="H149" s="171">
        <v>0.25109999999999999</v>
      </c>
      <c r="I149" s="172">
        <f t="shared" si="14"/>
        <v>3039.22</v>
      </c>
      <c r="J149" s="173">
        <f>I149/I272</f>
        <v>1.8992533231433906E-3</v>
      </c>
      <c r="N149" s="130">
        <v>1452.92</v>
      </c>
      <c r="O149" s="130">
        <v>755.48</v>
      </c>
      <c r="Q149" s="18">
        <f t="shared" si="17"/>
        <v>2208.4</v>
      </c>
      <c r="R149" s="276">
        <f t="shared" si="18"/>
        <v>0.65790617641731575</v>
      </c>
      <c r="S149" s="276">
        <f t="shared" si="19"/>
        <v>0.34209382358268431</v>
      </c>
    </row>
    <row r="150" spans="1:19" ht="15.75" thickBot="1" x14ac:dyDescent="0.3">
      <c r="A150" s="208" t="s">
        <v>479</v>
      </c>
      <c r="B150" s="133" t="s">
        <v>268</v>
      </c>
      <c r="C150" s="33"/>
      <c r="D150" s="134"/>
      <c r="E150" s="135"/>
      <c r="F150" s="134"/>
      <c r="G150" s="135"/>
      <c r="H150" s="209"/>
      <c r="I150" s="210">
        <f>SUM(I149)</f>
        <v>3039.22</v>
      </c>
      <c r="J150" s="179">
        <f>I150/I272</f>
        <v>1.8992533231433906E-3</v>
      </c>
      <c r="L150" s="129">
        <f>F149+G149</f>
        <v>2429.2400000000002</v>
      </c>
      <c r="M150" s="129"/>
      <c r="N150" s="282"/>
      <c r="O150" s="282"/>
      <c r="R150" s="276"/>
      <c r="S150" s="276"/>
    </row>
    <row r="151" spans="1:19" x14ac:dyDescent="0.2">
      <c r="A151" s="207" t="s">
        <v>81</v>
      </c>
      <c r="B151" s="42" t="s">
        <v>82</v>
      </c>
      <c r="C151" s="45"/>
      <c r="D151" s="130"/>
      <c r="E151" s="131"/>
      <c r="F151" s="130"/>
      <c r="G151" s="131"/>
      <c r="H151" s="171"/>
      <c r="I151" s="172"/>
      <c r="J151" s="173"/>
      <c r="N151" s="130"/>
      <c r="O151" s="130"/>
      <c r="R151" s="276"/>
      <c r="S151" s="276"/>
    </row>
    <row r="152" spans="1:19" x14ac:dyDescent="0.2">
      <c r="A152" s="207" t="s">
        <v>83</v>
      </c>
      <c r="B152" s="42" t="s">
        <v>269</v>
      </c>
      <c r="C152" s="45" t="s">
        <v>8</v>
      </c>
      <c r="D152" s="170">
        <v>108</v>
      </c>
      <c r="E152" s="131">
        <v>869.1</v>
      </c>
      <c r="F152" s="130">
        <f>D152*E152*R152</f>
        <v>25501.93572163448</v>
      </c>
      <c r="G152" s="131">
        <f>D152*E152*S152</f>
        <v>68360.864278365523</v>
      </c>
      <c r="H152" s="171">
        <v>0.25109999999999999</v>
      </c>
      <c r="I152" s="172">
        <f t="shared" si="14"/>
        <v>117431.75</v>
      </c>
      <c r="J152" s="173">
        <f>I152/I272</f>
        <v>7.3384829472708094E-2</v>
      </c>
      <c r="N152" s="130">
        <v>24085.162079999998</v>
      </c>
      <c r="O152" s="130">
        <v>64563.040000000001</v>
      </c>
      <c r="Q152" s="18">
        <f t="shared" si="17"/>
        <v>88648.202080000003</v>
      </c>
      <c r="R152" s="276">
        <f t="shared" si="18"/>
        <v>0.27169374578250893</v>
      </c>
      <c r="S152" s="276">
        <f t="shared" si="19"/>
        <v>0.72830625421749107</v>
      </c>
    </row>
    <row r="153" spans="1:19" ht="15" thickBot="1" x14ac:dyDescent="0.25">
      <c r="A153" s="207" t="s">
        <v>84</v>
      </c>
      <c r="B153" s="42" t="s">
        <v>270</v>
      </c>
      <c r="C153" s="45" t="s">
        <v>31</v>
      </c>
      <c r="D153" s="170">
        <v>39.85</v>
      </c>
      <c r="E153" s="131">
        <v>573.52</v>
      </c>
      <c r="F153" s="130">
        <f>D153*E153*R153</f>
        <v>3185.5293000000001</v>
      </c>
      <c r="G153" s="131">
        <f>D153*E153*S153</f>
        <v>19669.242700000003</v>
      </c>
      <c r="H153" s="171">
        <v>0.25109999999999999</v>
      </c>
      <c r="I153" s="172">
        <f t="shared" si="14"/>
        <v>28593.61</v>
      </c>
      <c r="J153" s="173">
        <f>I153/I272</f>
        <v>1.7868567860558331E-2</v>
      </c>
      <c r="N153" s="130">
        <v>3057.6284999999998</v>
      </c>
      <c r="O153" s="130">
        <v>18879.511500000001</v>
      </c>
      <c r="Q153" s="18">
        <f t="shared" si="17"/>
        <v>21937.14</v>
      </c>
      <c r="R153" s="276">
        <f t="shared" si="18"/>
        <v>0.13938136420700237</v>
      </c>
      <c r="S153" s="276">
        <f t="shared" si="19"/>
        <v>0.86061863579299769</v>
      </c>
    </row>
    <row r="154" spans="1:19" ht="15.75" thickBot="1" x14ac:dyDescent="0.3">
      <c r="A154" s="208" t="s">
        <v>478</v>
      </c>
      <c r="B154" s="133" t="s">
        <v>271</v>
      </c>
      <c r="C154" s="33"/>
      <c r="D154" s="134"/>
      <c r="E154" s="135"/>
      <c r="F154" s="134"/>
      <c r="G154" s="135"/>
      <c r="H154" s="209"/>
      <c r="I154" s="210">
        <f>SUM(I152:I153)</f>
        <v>146025.35999999999</v>
      </c>
      <c r="J154" s="179">
        <f>I154/I272</f>
        <v>9.1253397333266414E-2</v>
      </c>
      <c r="L154" s="129">
        <f>F152+F153+G152+G153</f>
        <v>116717.57200000001</v>
      </c>
      <c r="M154" s="129"/>
      <c r="N154" s="282"/>
      <c r="O154" s="282"/>
      <c r="R154" s="276"/>
      <c r="S154" s="276"/>
    </row>
    <row r="155" spans="1:19" x14ac:dyDescent="0.2">
      <c r="A155" s="207" t="s">
        <v>272</v>
      </c>
      <c r="B155" s="42" t="s">
        <v>273</v>
      </c>
      <c r="C155" s="45"/>
      <c r="D155" s="130"/>
      <c r="E155" s="131"/>
      <c r="F155" s="130"/>
      <c r="G155" s="131"/>
      <c r="H155" s="171"/>
      <c r="I155" s="172"/>
      <c r="J155" s="173"/>
      <c r="N155" s="130"/>
      <c r="O155" s="130"/>
      <c r="R155" s="276"/>
      <c r="S155" s="276"/>
    </row>
    <row r="156" spans="1:19" ht="15" thickBot="1" x14ac:dyDescent="0.25">
      <c r="A156" s="207" t="s">
        <v>274</v>
      </c>
      <c r="B156" s="42" t="s">
        <v>275</v>
      </c>
      <c r="C156" s="45" t="s">
        <v>36</v>
      </c>
      <c r="D156" s="170">
        <v>61.12</v>
      </c>
      <c r="E156" s="131">
        <v>171.96</v>
      </c>
      <c r="F156" s="130">
        <f>D156*E156*R156</f>
        <v>2075.6352000000002</v>
      </c>
      <c r="G156" s="131">
        <f>D156*E156*S156</f>
        <v>8434.56</v>
      </c>
      <c r="H156" s="171">
        <v>0.25109999999999999</v>
      </c>
      <c r="I156" s="172">
        <f t="shared" si="14"/>
        <v>13149.31</v>
      </c>
      <c r="J156" s="173">
        <f>I156/I272</f>
        <v>8.2171974106983424E-3</v>
      </c>
      <c r="N156" s="130">
        <v>1307.1204</v>
      </c>
      <c r="O156" s="130">
        <v>5311.62</v>
      </c>
      <c r="Q156" s="18">
        <f t="shared" si="17"/>
        <v>6618.7403999999997</v>
      </c>
      <c r="R156" s="276">
        <f t="shared" si="18"/>
        <v>0.19748778785764132</v>
      </c>
      <c r="S156" s="276">
        <f t="shared" si="19"/>
        <v>0.80251221214235868</v>
      </c>
    </row>
    <row r="157" spans="1:19" ht="15.75" thickBot="1" x14ac:dyDescent="0.3">
      <c r="A157" s="208" t="s">
        <v>477</v>
      </c>
      <c r="B157" s="133" t="s">
        <v>276</v>
      </c>
      <c r="C157" s="33"/>
      <c r="D157" s="134"/>
      <c r="E157" s="135"/>
      <c r="F157" s="134"/>
      <c r="G157" s="135"/>
      <c r="H157" s="209"/>
      <c r="I157" s="210">
        <f>SUM(I156)</f>
        <v>13149.31</v>
      </c>
      <c r="J157" s="179">
        <f>I157/I272</f>
        <v>8.2171974106983424E-3</v>
      </c>
      <c r="L157" s="129">
        <f>F156+G156</f>
        <v>10510.1952</v>
      </c>
      <c r="M157" s="129"/>
      <c r="N157" s="282"/>
      <c r="O157" s="282"/>
      <c r="R157" s="276"/>
      <c r="S157" s="276"/>
    </row>
    <row r="158" spans="1:19" ht="15.75" thickBot="1" x14ac:dyDescent="0.3">
      <c r="A158" s="212" t="s">
        <v>476</v>
      </c>
      <c r="B158" s="31" t="s">
        <v>277</v>
      </c>
      <c r="C158" s="24"/>
      <c r="D158" s="136"/>
      <c r="E158" s="137"/>
      <c r="F158" s="136"/>
      <c r="G158" s="137"/>
      <c r="H158" s="213"/>
      <c r="I158" s="214">
        <f>I143+I147+I150+I154+I157</f>
        <v>240615.69999999998</v>
      </c>
      <c r="J158" s="215">
        <f>I158/I272</f>
        <v>0.15036429341261018</v>
      </c>
      <c r="L158" s="140">
        <f>L143+L147+L150+L154+L157</f>
        <v>192323.31240000002</v>
      </c>
      <c r="M158" s="277"/>
      <c r="N158" s="283"/>
      <c r="O158" s="283"/>
      <c r="R158" s="276"/>
      <c r="S158" s="276"/>
    </row>
    <row r="159" spans="1:19" x14ac:dyDescent="0.2">
      <c r="A159" s="207" t="s">
        <v>85</v>
      </c>
      <c r="B159" s="42" t="s">
        <v>86</v>
      </c>
      <c r="C159" s="45"/>
      <c r="D159" s="130"/>
      <c r="E159" s="131"/>
      <c r="F159" s="130"/>
      <c r="G159" s="131"/>
      <c r="H159" s="171"/>
      <c r="I159" s="172"/>
      <c r="J159" s="173"/>
      <c r="N159" s="130"/>
      <c r="O159" s="130"/>
      <c r="R159" s="276"/>
      <c r="S159" s="276"/>
    </row>
    <row r="160" spans="1:19" x14ac:dyDescent="0.2">
      <c r="A160" s="207" t="s">
        <v>22</v>
      </c>
      <c r="B160" s="42" t="s">
        <v>87</v>
      </c>
      <c r="C160" s="45"/>
      <c r="D160" s="130"/>
      <c r="E160" s="131"/>
      <c r="F160" s="130"/>
      <c r="G160" s="131"/>
      <c r="H160" s="171"/>
      <c r="I160" s="172"/>
      <c r="J160" s="173"/>
      <c r="N160" s="130"/>
      <c r="O160" s="130"/>
      <c r="R160" s="276"/>
      <c r="S160" s="276"/>
    </row>
    <row r="161" spans="1:19" x14ac:dyDescent="0.2">
      <c r="A161" s="207" t="s">
        <v>88</v>
      </c>
      <c r="B161" s="42" t="s">
        <v>92</v>
      </c>
      <c r="C161" s="45" t="s">
        <v>21</v>
      </c>
      <c r="D161" s="130">
        <v>962.54</v>
      </c>
      <c r="E161" s="131">
        <v>10.59</v>
      </c>
      <c r="F161" s="130">
        <f>D161*E161*R161</f>
        <v>10193.2986</v>
      </c>
      <c r="G161" s="131">
        <f t="shared" ref="G161:G165" si="20">D161*E161*S161</f>
        <v>0</v>
      </c>
      <c r="H161" s="171">
        <v>0.25109999999999999</v>
      </c>
      <c r="I161" s="172">
        <f t="shared" si="14"/>
        <v>12752.84</v>
      </c>
      <c r="J161" s="173">
        <f>I161/I272</f>
        <v>7.9694374706391641E-3</v>
      </c>
      <c r="N161" s="130">
        <v>10193.2986</v>
      </c>
      <c r="O161" s="130">
        <v>0</v>
      </c>
      <c r="Q161" s="18">
        <f t="shared" si="17"/>
        <v>10193.2986</v>
      </c>
      <c r="R161" s="276">
        <f t="shared" si="18"/>
        <v>1</v>
      </c>
      <c r="S161" s="276">
        <f t="shared" si="19"/>
        <v>0</v>
      </c>
    </row>
    <row r="162" spans="1:19" x14ac:dyDescent="0.2">
      <c r="A162" s="207" t="s">
        <v>89</v>
      </c>
      <c r="B162" s="42" t="s">
        <v>93</v>
      </c>
      <c r="C162" s="45" t="s">
        <v>21</v>
      </c>
      <c r="D162" s="130">
        <v>105.46</v>
      </c>
      <c r="E162" s="131">
        <v>10.59</v>
      </c>
      <c r="F162" s="130">
        <f t="shared" ref="F162:F166" si="21">D162*E162*R162</f>
        <v>1116.8213999999998</v>
      </c>
      <c r="G162" s="131">
        <f t="shared" si="20"/>
        <v>0</v>
      </c>
      <c r="H162" s="171">
        <v>0.25109999999999999</v>
      </c>
      <c r="I162" s="172">
        <f t="shared" si="14"/>
        <v>1397.26</v>
      </c>
      <c r="J162" s="173">
        <f>I162/I272</f>
        <v>8.7316834526468437E-4</v>
      </c>
      <c r="N162" s="130">
        <v>1116.8214</v>
      </c>
      <c r="O162" s="130">
        <v>0</v>
      </c>
      <c r="Q162" s="18">
        <f t="shared" si="17"/>
        <v>1116.8214</v>
      </c>
      <c r="R162" s="276">
        <f t="shared" si="18"/>
        <v>1</v>
      </c>
      <c r="S162" s="276">
        <f t="shared" si="19"/>
        <v>0</v>
      </c>
    </row>
    <row r="163" spans="1:19" x14ac:dyDescent="0.2">
      <c r="A163" s="207" t="s">
        <v>278</v>
      </c>
      <c r="B163" s="42" t="s">
        <v>279</v>
      </c>
      <c r="C163" s="45" t="s">
        <v>21</v>
      </c>
      <c r="D163" s="170">
        <v>58.86</v>
      </c>
      <c r="E163" s="131">
        <v>18.329999999999998</v>
      </c>
      <c r="F163" s="130">
        <f t="shared" si="21"/>
        <v>1078.9037999999998</v>
      </c>
      <c r="G163" s="131">
        <f t="shared" si="20"/>
        <v>0</v>
      </c>
      <c r="H163" s="171">
        <v>0.25109999999999999</v>
      </c>
      <c r="I163" s="172">
        <f t="shared" si="14"/>
        <v>1349.82</v>
      </c>
      <c r="J163" s="173">
        <f>I163/I272</f>
        <v>8.4352239082574197E-4</v>
      </c>
      <c r="N163" s="130">
        <v>693.97379999999998</v>
      </c>
      <c r="O163" s="130">
        <v>0</v>
      </c>
      <c r="Q163" s="18">
        <f t="shared" si="17"/>
        <v>693.97379999999998</v>
      </c>
      <c r="R163" s="276">
        <f t="shared" si="18"/>
        <v>1</v>
      </c>
      <c r="S163" s="276">
        <f t="shared" si="19"/>
        <v>0</v>
      </c>
    </row>
    <row r="164" spans="1:19" x14ac:dyDescent="0.2">
      <c r="A164" s="207" t="s">
        <v>90</v>
      </c>
      <c r="B164" s="42" t="s">
        <v>94</v>
      </c>
      <c r="C164" s="45" t="s">
        <v>31</v>
      </c>
      <c r="D164" s="170">
        <v>64</v>
      </c>
      <c r="E164" s="131">
        <v>14.09</v>
      </c>
      <c r="F164" s="130">
        <f t="shared" si="21"/>
        <v>901.76</v>
      </c>
      <c r="G164" s="131">
        <f t="shared" si="20"/>
        <v>0</v>
      </c>
      <c r="H164" s="171">
        <v>0.25109999999999999</v>
      </c>
      <c r="I164" s="172">
        <f t="shared" si="14"/>
        <v>1128.19</v>
      </c>
      <c r="J164" s="173">
        <f>I164/I272</f>
        <v>7.0502254086151782E-4</v>
      </c>
      <c r="N164" s="130">
        <v>422.7</v>
      </c>
      <c r="O164" s="130">
        <v>0</v>
      </c>
      <c r="Q164" s="18">
        <f t="shared" si="17"/>
        <v>422.7</v>
      </c>
      <c r="R164" s="276">
        <f t="shared" si="18"/>
        <v>1</v>
      </c>
      <c r="S164" s="276">
        <f t="shared" si="19"/>
        <v>0</v>
      </c>
    </row>
    <row r="165" spans="1:19" x14ac:dyDescent="0.2">
      <c r="A165" s="207" t="s">
        <v>91</v>
      </c>
      <c r="B165" s="42" t="s">
        <v>95</v>
      </c>
      <c r="C165" s="45" t="s">
        <v>31</v>
      </c>
      <c r="D165" s="130">
        <v>3560.02</v>
      </c>
      <c r="E165" s="131">
        <v>3.17</v>
      </c>
      <c r="F165" s="130">
        <f t="shared" si="21"/>
        <v>11285.2634</v>
      </c>
      <c r="G165" s="131">
        <f t="shared" si="20"/>
        <v>0</v>
      </c>
      <c r="H165" s="171">
        <v>0.25109999999999999</v>
      </c>
      <c r="I165" s="172">
        <f t="shared" si="14"/>
        <v>14118.99</v>
      </c>
      <c r="J165" s="173">
        <f>I165/I272</f>
        <v>8.8231647188845505E-3</v>
      </c>
      <c r="N165" s="130">
        <v>11285.2634</v>
      </c>
      <c r="O165" s="130">
        <v>0</v>
      </c>
      <c r="Q165" s="18">
        <f t="shared" si="17"/>
        <v>11285.2634</v>
      </c>
      <c r="R165" s="276">
        <f t="shared" si="18"/>
        <v>1</v>
      </c>
      <c r="S165" s="276">
        <f t="shared" si="19"/>
        <v>0</v>
      </c>
    </row>
    <row r="166" spans="1:19" ht="15" thickBot="1" x14ac:dyDescent="0.25">
      <c r="A166" s="207" t="s">
        <v>280</v>
      </c>
      <c r="B166" s="42" t="s">
        <v>281</v>
      </c>
      <c r="C166" s="45" t="s">
        <v>21</v>
      </c>
      <c r="D166" s="130">
        <v>250.6</v>
      </c>
      <c r="E166" s="131">
        <v>18.329999999999998</v>
      </c>
      <c r="F166" s="130">
        <f t="shared" si="21"/>
        <v>4593.4979999999996</v>
      </c>
      <c r="G166" s="131">
        <f>D166*E166*S166</f>
        <v>0</v>
      </c>
      <c r="H166" s="171">
        <v>0.25109999999999999</v>
      </c>
      <c r="I166" s="172">
        <f t="shared" si="14"/>
        <v>5746.93</v>
      </c>
      <c r="J166" s="173">
        <f>I166/I272</f>
        <v>3.5913411666060524E-3</v>
      </c>
      <c r="N166" s="130">
        <v>4593.4979999999996</v>
      </c>
      <c r="O166" s="130">
        <v>0</v>
      </c>
      <c r="Q166" s="18">
        <f t="shared" ref="Q166:Q230" si="22">N166+O166</f>
        <v>4593.4979999999996</v>
      </c>
      <c r="R166" s="276">
        <f t="shared" ref="R166:R230" si="23">N166/Q166</f>
        <v>1</v>
      </c>
      <c r="S166" s="276">
        <f t="shared" ref="S166:S230" si="24">O166/Q166</f>
        <v>0</v>
      </c>
    </row>
    <row r="167" spans="1:19" ht="15.75" thickBot="1" x14ac:dyDescent="0.3">
      <c r="A167" s="208" t="s">
        <v>475</v>
      </c>
      <c r="B167" s="133" t="s">
        <v>282</v>
      </c>
      <c r="C167" s="33"/>
      <c r="D167" s="134"/>
      <c r="E167" s="135"/>
      <c r="F167" s="134"/>
      <c r="G167" s="135"/>
      <c r="H167" s="209"/>
      <c r="I167" s="210">
        <f>SUM(I161:I166)</f>
        <v>36494.03</v>
      </c>
      <c r="J167" s="179">
        <f>I167/I272</f>
        <v>2.2805656633081709E-2</v>
      </c>
      <c r="L167" s="129">
        <f>F161+F162+F163+F164+F165+F166</f>
        <v>29169.5452</v>
      </c>
      <c r="M167" s="129"/>
      <c r="N167" s="282"/>
      <c r="O167" s="282"/>
      <c r="R167" s="276"/>
      <c r="S167" s="276"/>
    </row>
    <row r="168" spans="1:19" ht="28.5" x14ac:dyDescent="0.2">
      <c r="A168" s="207" t="s">
        <v>24</v>
      </c>
      <c r="B168" s="138" t="s">
        <v>96</v>
      </c>
      <c r="C168" s="45"/>
      <c r="D168" s="130"/>
      <c r="E168" s="131"/>
      <c r="F168" s="130"/>
      <c r="G168" s="131"/>
      <c r="H168" s="171"/>
      <c r="I168" s="172"/>
      <c r="J168" s="173"/>
      <c r="N168" s="130"/>
      <c r="O168" s="130"/>
      <c r="R168" s="276"/>
      <c r="S168" s="276"/>
    </row>
    <row r="169" spans="1:19" x14ac:dyDescent="0.2">
      <c r="A169" s="207" t="s">
        <v>443</v>
      </c>
      <c r="B169" s="138" t="s">
        <v>279</v>
      </c>
      <c r="C169" s="45" t="s">
        <v>21</v>
      </c>
      <c r="D169" s="170">
        <v>12.6</v>
      </c>
      <c r="E169" s="131">
        <v>72.55</v>
      </c>
      <c r="F169" s="170">
        <f>D169*E169*R170</f>
        <v>717.32211778367605</v>
      </c>
      <c r="G169" s="293">
        <f>D169*E169*S170</f>
        <v>196.8078822163238</v>
      </c>
      <c r="H169" s="171">
        <v>0.25109999999999999</v>
      </c>
      <c r="I169" s="172">
        <f t="shared" si="14"/>
        <v>1143.67</v>
      </c>
      <c r="J169" s="173">
        <f>I169/I271</f>
        <v>1.2633822946858782E-2</v>
      </c>
      <c r="N169" s="130"/>
      <c r="O169" s="130"/>
      <c r="R169" s="276"/>
      <c r="S169" s="276"/>
    </row>
    <row r="170" spans="1:19" ht="15" thickBot="1" x14ac:dyDescent="0.25">
      <c r="A170" s="207" t="s">
        <v>283</v>
      </c>
      <c r="B170" s="42" t="s">
        <v>284</v>
      </c>
      <c r="C170" s="45" t="s">
        <v>21</v>
      </c>
      <c r="D170" s="130">
        <v>250.6</v>
      </c>
      <c r="E170" s="131">
        <v>60.28</v>
      </c>
      <c r="F170" s="130">
        <f>D170*E170*R170</f>
        <v>11853.8812</v>
      </c>
      <c r="G170" s="131">
        <f>D170*E170*S170</f>
        <v>3252.2867999999999</v>
      </c>
      <c r="H170" s="171">
        <v>0.25109999999999999</v>
      </c>
      <c r="I170" s="172">
        <f t="shared" si="14"/>
        <v>18899.330000000002</v>
      </c>
      <c r="J170" s="173">
        <f>I170/I272</f>
        <v>1.1810469563797152E-2</v>
      </c>
      <c r="N170" s="130">
        <v>11853.8812</v>
      </c>
      <c r="O170" s="130">
        <v>3252.2867999999999</v>
      </c>
      <c r="Q170" s="18">
        <f t="shared" si="22"/>
        <v>15106.168</v>
      </c>
      <c r="R170" s="276">
        <f t="shared" si="23"/>
        <v>0.78470471134704711</v>
      </c>
      <c r="S170" s="276">
        <f t="shared" si="24"/>
        <v>0.21529528865295289</v>
      </c>
    </row>
    <row r="171" spans="1:19" ht="30.75" thickBot="1" x14ac:dyDescent="0.3">
      <c r="A171" s="208" t="s">
        <v>474</v>
      </c>
      <c r="B171" s="139" t="s">
        <v>285</v>
      </c>
      <c r="C171" s="33"/>
      <c r="D171" s="134"/>
      <c r="E171" s="135"/>
      <c r="F171" s="134"/>
      <c r="G171" s="135"/>
      <c r="H171" s="209"/>
      <c r="I171" s="210">
        <f>SUM(I170)</f>
        <v>18899.330000000002</v>
      </c>
      <c r="J171" s="179">
        <f>I171/I272</f>
        <v>1.1810469563797152E-2</v>
      </c>
      <c r="L171" s="129">
        <f>F170+G170</f>
        <v>15106.168</v>
      </c>
      <c r="M171" s="129"/>
      <c r="N171" s="282"/>
      <c r="O171" s="282"/>
      <c r="R171" s="276"/>
      <c r="S171" s="276"/>
    </row>
    <row r="172" spans="1:19" ht="28.5" x14ac:dyDescent="0.2">
      <c r="A172" s="207" t="s">
        <v>47</v>
      </c>
      <c r="B172" s="138" t="s">
        <v>97</v>
      </c>
      <c r="C172" s="45"/>
      <c r="D172" s="130"/>
      <c r="E172" s="131"/>
      <c r="F172" s="130"/>
      <c r="G172" s="131"/>
      <c r="H172" s="171"/>
      <c r="I172" s="172"/>
      <c r="J172" s="173"/>
      <c r="N172" s="130"/>
      <c r="O172" s="130"/>
      <c r="R172" s="276"/>
      <c r="S172" s="276"/>
    </row>
    <row r="173" spans="1:19" ht="15" thickBot="1" x14ac:dyDescent="0.25">
      <c r="A173" s="207" t="s">
        <v>98</v>
      </c>
      <c r="B173" s="42" t="s">
        <v>94</v>
      </c>
      <c r="C173" s="45" t="s">
        <v>31</v>
      </c>
      <c r="D173" s="170">
        <v>64</v>
      </c>
      <c r="E173" s="131">
        <v>41.7</v>
      </c>
      <c r="F173" s="130">
        <f>D173*E173*R173</f>
        <v>2365.9584</v>
      </c>
      <c r="G173" s="131">
        <f>D173*E173*S173</f>
        <v>302.84159999999997</v>
      </c>
      <c r="H173" s="171">
        <v>0.25109999999999999</v>
      </c>
      <c r="I173" s="172">
        <f t="shared" si="14"/>
        <v>3338.94</v>
      </c>
      <c r="J173" s="173">
        <f>I173/I272</f>
        <v>2.0865527637934709E-3</v>
      </c>
      <c r="N173" s="130">
        <v>1109.0429999999999</v>
      </c>
      <c r="O173" s="130">
        <v>141.95699999999999</v>
      </c>
      <c r="Q173" s="18">
        <f t="shared" si="22"/>
        <v>1251</v>
      </c>
      <c r="R173" s="276">
        <f t="shared" si="23"/>
        <v>0.88652517985611501</v>
      </c>
      <c r="S173" s="276">
        <f t="shared" si="24"/>
        <v>0.11347482014388488</v>
      </c>
    </row>
    <row r="174" spans="1:19" ht="30.75" thickBot="1" x14ac:dyDescent="0.3">
      <c r="A174" s="208" t="s">
        <v>473</v>
      </c>
      <c r="B174" s="139" t="s">
        <v>286</v>
      </c>
      <c r="C174" s="33"/>
      <c r="D174" s="134"/>
      <c r="E174" s="135"/>
      <c r="F174" s="134"/>
      <c r="G174" s="135"/>
      <c r="H174" s="209"/>
      <c r="I174" s="210">
        <f>SUM(I173)</f>
        <v>3338.94</v>
      </c>
      <c r="J174" s="179">
        <f>I174/I272</f>
        <v>2.0865527637934709E-3</v>
      </c>
      <c r="L174" s="129">
        <f>F173+G173</f>
        <v>2668.8</v>
      </c>
      <c r="M174" s="129"/>
      <c r="N174" s="282"/>
      <c r="O174" s="282"/>
      <c r="R174" s="276"/>
      <c r="S174" s="276"/>
    </row>
    <row r="175" spans="1:19" ht="28.5" x14ac:dyDescent="0.2">
      <c r="A175" s="207" t="s">
        <v>25</v>
      </c>
      <c r="B175" s="138" t="s">
        <v>287</v>
      </c>
      <c r="C175" s="45"/>
      <c r="D175" s="130"/>
      <c r="E175" s="131"/>
      <c r="F175" s="130"/>
      <c r="G175" s="131"/>
      <c r="H175" s="171"/>
      <c r="I175" s="172"/>
      <c r="J175" s="173"/>
      <c r="N175" s="130"/>
      <c r="O175" s="130"/>
      <c r="R175" s="276"/>
      <c r="S175" s="276"/>
    </row>
    <row r="176" spans="1:19" ht="15" thickBot="1" x14ac:dyDescent="0.25">
      <c r="A176" s="207" t="s">
        <v>99</v>
      </c>
      <c r="B176" s="42" t="s">
        <v>92</v>
      </c>
      <c r="C176" s="45" t="s">
        <v>36</v>
      </c>
      <c r="D176" s="130">
        <v>48.13</v>
      </c>
      <c r="E176" s="131">
        <v>804.13</v>
      </c>
      <c r="F176" s="130">
        <f>D176*E176*R176</f>
        <v>25366.338940000009</v>
      </c>
      <c r="G176" s="131">
        <f>D176*E176*S176</f>
        <v>13336.437960000001</v>
      </c>
      <c r="H176" s="171">
        <v>0.25109999999999999</v>
      </c>
      <c r="I176" s="172">
        <f t="shared" si="14"/>
        <v>48421.04</v>
      </c>
      <c r="J176" s="173">
        <f>I176/I272</f>
        <v>3.0259020778377034E-2</v>
      </c>
      <c r="N176" s="130">
        <v>25366.338940000001</v>
      </c>
      <c r="O176" s="130">
        <v>13336.437959999999</v>
      </c>
      <c r="Q176" s="18">
        <f t="shared" si="22"/>
        <v>38702.776899999997</v>
      </c>
      <c r="R176" s="276">
        <f t="shared" si="23"/>
        <v>0.65541392560904344</v>
      </c>
      <c r="S176" s="276">
        <f t="shared" si="24"/>
        <v>0.34458607439095668</v>
      </c>
    </row>
    <row r="177" spans="1:19" ht="30.75" thickBot="1" x14ac:dyDescent="0.3">
      <c r="A177" s="208" t="s">
        <v>471</v>
      </c>
      <c r="B177" s="139" t="s">
        <v>288</v>
      </c>
      <c r="C177" s="33"/>
      <c r="D177" s="134"/>
      <c r="E177" s="135"/>
      <c r="F177" s="134"/>
      <c r="G177" s="135"/>
      <c r="H177" s="209"/>
      <c r="I177" s="210">
        <f>SUM(I176)</f>
        <v>48421.04</v>
      </c>
      <c r="J177" s="179">
        <f>I177/I272</f>
        <v>3.0259020778377034E-2</v>
      </c>
      <c r="L177" s="129">
        <f>F176+G176</f>
        <v>38702.776900000012</v>
      </c>
      <c r="M177" s="129"/>
      <c r="N177" s="282"/>
      <c r="O177" s="282"/>
      <c r="R177" s="276"/>
      <c r="S177" s="276"/>
    </row>
    <row r="178" spans="1:19" ht="15.75" thickBot="1" x14ac:dyDescent="0.3">
      <c r="A178" s="212" t="s">
        <v>472</v>
      </c>
      <c r="B178" s="31" t="s">
        <v>289</v>
      </c>
      <c r="C178" s="24"/>
      <c r="D178" s="136"/>
      <c r="E178" s="137"/>
      <c r="F178" s="136"/>
      <c r="G178" s="137"/>
      <c r="H178" s="213"/>
      <c r="I178" s="214">
        <f>I167+I171+I174+I177</f>
        <v>107153.34</v>
      </c>
      <c r="J178" s="215">
        <f>I178/I272</f>
        <v>6.6961699739049363E-2</v>
      </c>
      <c r="L178" s="140">
        <f>L167+L171+L174+L177</f>
        <v>85647.290100000013</v>
      </c>
      <c r="M178" s="277"/>
      <c r="N178" s="283"/>
      <c r="O178" s="283"/>
      <c r="R178" s="276"/>
      <c r="S178" s="276"/>
    </row>
    <row r="179" spans="1:19" x14ac:dyDescent="0.2">
      <c r="A179" s="207" t="s">
        <v>290</v>
      </c>
      <c r="B179" s="42" t="s">
        <v>291</v>
      </c>
      <c r="C179" s="45"/>
      <c r="D179" s="130"/>
      <c r="E179" s="131"/>
      <c r="F179" s="130"/>
      <c r="G179" s="131"/>
      <c r="H179" s="171"/>
      <c r="I179" s="172"/>
      <c r="J179" s="173"/>
      <c r="N179" s="130"/>
      <c r="O179" s="130"/>
      <c r="R179" s="276"/>
      <c r="S179" s="276"/>
    </row>
    <row r="180" spans="1:19" x14ac:dyDescent="0.2">
      <c r="A180" s="207" t="s">
        <v>22</v>
      </c>
      <c r="B180" s="42" t="s">
        <v>292</v>
      </c>
      <c r="C180" s="45"/>
      <c r="D180" s="130"/>
      <c r="E180" s="131"/>
      <c r="F180" s="130"/>
      <c r="G180" s="131"/>
      <c r="H180" s="171"/>
      <c r="I180" s="172"/>
      <c r="J180" s="173"/>
      <c r="N180" s="130"/>
      <c r="O180" s="130"/>
      <c r="R180" s="276"/>
      <c r="S180" s="276"/>
    </row>
    <row r="181" spans="1:19" ht="15" thickBot="1" x14ac:dyDescent="0.25">
      <c r="A181" s="207" t="s">
        <v>293</v>
      </c>
      <c r="B181" s="42" t="s">
        <v>294</v>
      </c>
      <c r="C181" s="45" t="s">
        <v>21</v>
      </c>
      <c r="D181" s="130">
        <v>4</v>
      </c>
      <c r="E181" s="131">
        <v>90.2</v>
      </c>
      <c r="F181" s="130">
        <f>D181*E181*R181</f>
        <v>254.48000000000005</v>
      </c>
      <c r="G181" s="131">
        <f>D181*E181*S181</f>
        <v>106.32000000000001</v>
      </c>
      <c r="H181" s="171">
        <v>0.25109999999999999</v>
      </c>
      <c r="I181" s="172">
        <f t="shared" si="14"/>
        <v>451.4</v>
      </c>
      <c r="J181" s="173">
        <f>I181/I272</f>
        <v>2.8208650577020634E-4</v>
      </c>
      <c r="N181" s="130">
        <v>254.48</v>
      </c>
      <c r="O181" s="130">
        <v>106.32</v>
      </c>
      <c r="Q181" s="18">
        <f t="shared" si="22"/>
        <v>360.79999999999995</v>
      </c>
      <c r="R181" s="276">
        <f t="shared" si="23"/>
        <v>0.70532150776053226</v>
      </c>
      <c r="S181" s="276">
        <f t="shared" si="24"/>
        <v>0.29467849223946785</v>
      </c>
    </row>
    <row r="182" spans="1:19" ht="15.75" thickBot="1" x14ac:dyDescent="0.3">
      <c r="A182" s="208" t="s">
        <v>470</v>
      </c>
      <c r="B182" s="133" t="s">
        <v>295</v>
      </c>
      <c r="C182" s="33"/>
      <c r="D182" s="134"/>
      <c r="E182" s="135"/>
      <c r="F182" s="134"/>
      <c r="G182" s="135"/>
      <c r="H182" s="209"/>
      <c r="I182" s="210">
        <f>SUM(I181)</f>
        <v>451.4</v>
      </c>
      <c r="J182" s="179">
        <f>I182/I272</f>
        <v>2.8208650577020634E-4</v>
      </c>
      <c r="L182" s="129">
        <f>F181+G181</f>
        <v>360.80000000000007</v>
      </c>
      <c r="M182" s="129"/>
      <c r="N182" s="282"/>
      <c r="O182" s="282"/>
      <c r="R182" s="276"/>
      <c r="S182" s="276"/>
    </row>
    <row r="183" spans="1:19" ht="15.75" thickBot="1" x14ac:dyDescent="0.3">
      <c r="A183" s="212" t="s">
        <v>470</v>
      </c>
      <c r="B183" s="31" t="s">
        <v>296</v>
      </c>
      <c r="C183" s="24"/>
      <c r="D183" s="136"/>
      <c r="E183" s="137"/>
      <c r="F183" s="136"/>
      <c r="G183" s="137"/>
      <c r="H183" s="213"/>
      <c r="I183" s="214">
        <f>I182</f>
        <v>451.4</v>
      </c>
      <c r="J183" s="215">
        <f>I183/I272</f>
        <v>2.8208650577020634E-4</v>
      </c>
      <c r="L183" s="140">
        <f>L182</f>
        <v>360.80000000000007</v>
      </c>
      <c r="M183" s="277"/>
      <c r="N183" s="283"/>
      <c r="O183" s="283"/>
      <c r="R183" s="276"/>
      <c r="S183" s="276"/>
    </row>
    <row r="184" spans="1:19" x14ac:dyDescent="0.2">
      <c r="A184" s="207" t="s">
        <v>114</v>
      </c>
      <c r="B184" s="42" t="s">
        <v>297</v>
      </c>
      <c r="C184" s="45"/>
      <c r="D184" s="130"/>
      <c r="E184" s="131"/>
      <c r="F184" s="130"/>
      <c r="G184" s="131"/>
      <c r="H184" s="171"/>
      <c r="I184" s="172"/>
      <c r="J184" s="173"/>
      <c r="N184" s="130"/>
      <c r="O184" s="130"/>
      <c r="R184" s="276"/>
      <c r="S184" s="276"/>
    </row>
    <row r="185" spans="1:19" x14ac:dyDescent="0.2">
      <c r="A185" s="207" t="s">
        <v>24</v>
      </c>
      <c r="B185" s="42" t="s">
        <v>298</v>
      </c>
      <c r="C185" s="45"/>
      <c r="D185" s="130"/>
      <c r="E185" s="131"/>
      <c r="F185" s="130"/>
      <c r="G185" s="131"/>
      <c r="H185" s="171"/>
      <c r="I185" s="172"/>
      <c r="J185" s="173"/>
      <c r="N185" s="130"/>
      <c r="O185" s="130"/>
      <c r="R185" s="276"/>
      <c r="S185" s="276"/>
    </row>
    <row r="186" spans="1:19" x14ac:dyDescent="0.2">
      <c r="A186" s="207" t="s">
        <v>299</v>
      </c>
      <c r="B186" s="42" t="s">
        <v>300</v>
      </c>
      <c r="C186" s="45" t="s">
        <v>21</v>
      </c>
      <c r="D186" s="130">
        <v>4</v>
      </c>
      <c r="E186" s="131">
        <v>10.97</v>
      </c>
      <c r="F186" s="130">
        <f>D186*E186*R186</f>
        <v>35.540000000000006</v>
      </c>
      <c r="G186" s="131">
        <f t="shared" ref="G186:G187" si="25">D186*E186*S186</f>
        <v>8.3400000000000016</v>
      </c>
      <c r="H186" s="171">
        <v>0.25109999999999999</v>
      </c>
      <c r="I186" s="172">
        <f t="shared" si="14"/>
        <v>54.9</v>
      </c>
      <c r="J186" s="173">
        <f>I186/I272</f>
        <v>3.4307818269349423E-5</v>
      </c>
      <c r="N186" s="130">
        <v>35.54</v>
      </c>
      <c r="O186" s="130">
        <v>8.34</v>
      </c>
      <c r="Q186" s="18">
        <f t="shared" si="22"/>
        <v>43.879999999999995</v>
      </c>
      <c r="R186" s="276">
        <f t="shared" si="23"/>
        <v>0.80993618960802194</v>
      </c>
      <c r="S186" s="276">
        <f t="shared" si="24"/>
        <v>0.19006381039197814</v>
      </c>
    </row>
    <row r="187" spans="1:19" x14ac:dyDescent="0.2">
      <c r="A187" s="207" t="s">
        <v>301</v>
      </c>
      <c r="B187" s="42" t="s">
        <v>302</v>
      </c>
      <c r="C187" s="45" t="s">
        <v>21</v>
      </c>
      <c r="D187" s="130">
        <v>4</v>
      </c>
      <c r="E187" s="131">
        <v>46.63</v>
      </c>
      <c r="F187" s="130">
        <f t="shared" ref="F187:F188" si="26">D187*E187*R187</f>
        <v>160.12880000000001</v>
      </c>
      <c r="G187" s="131">
        <f t="shared" si="25"/>
        <v>26.391200000000001</v>
      </c>
      <c r="H187" s="171">
        <v>0.25109999999999999</v>
      </c>
      <c r="I187" s="172">
        <f t="shared" si="14"/>
        <v>233.36</v>
      </c>
      <c r="J187" s="173">
        <f>I187/I272</f>
        <v>1.4583009966002516E-4</v>
      </c>
      <c r="N187" s="130">
        <v>160.12880000000001</v>
      </c>
      <c r="O187" s="130">
        <v>26.391200000000001</v>
      </c>
      <c r="Q187" s="18">
        <f t="shared" si="22"/>
        <v>186.52</v>
      </c>
      <c r="R187" s="276">
        <f t="shared" si="23"/>
        <v>0.85850739867038395</v>
      </c>
      <c r="S187" s="276">
        <f t="shared" si="24"/>
        <v>0.14149260132961614</v>
      </c>
    </row>
    <row r="188" spans="1:19" ht="15" thickBot="1" x14ac:dyDescent="0.25">
      <c r="A188" s="207" t="s">
        <v>303</v>
      </c>
      <c r="B188" s="42" t="s">
        <v>304</v>
      </c>
      <c r="C188" s="45" t="s">
        <v>21</v>
      </c>
      <c r="D188" s="130">
        <v>4</v>
      </c>
      <c r="E188" s="131">
        <v>35.47</v>
      </c>
      <c r="F188" s="130">
        <f t="shared" si="26"/>
        <v>134.37520000000001</v>
      </c>
      <c r="G188" s="131">
        <f>D188*E188*S188</f>
        <v>7.5048000000000012</v>
      </c>
      <c r="H188" s="171">
        <v>0.25109999999999999</v>
      </c>
      <c r="I188" s="172">
        <f t="shared" si="14"/>
        <v>177.51</v>
      </c>
      <c r="J188" s="173">
        <f>I188/I272</f>
        <v>1.1092861240422979E-4</v>
      </c>
      <c r="N188" s="130">
        <v>134.37520000000001</v>
      </c>
      <c r="O188" s="130">
        <v>7.5048000000000004</v>
      </c>
      <c r="Q188" s="18">
        <f t="shared" si="22"/>
        <v>141.88</v>
      </c>
      <c r="R188" s="276">
        <f t="shared" si="23"/>
        <v>0.94710459543276015</v>
      </c>
      <c r="S188" s="276">
        <f t="shared" si="24"/>
        <v>5.2895404567239929E-2</v>
      </c>
    </row>
    <row r="189" spans="1:19" ht="15.75" thickBot="1" x14ac:dyDescent="0.3">
      <c r="A189" s="208" t="s">
        <v>469</v>
      </c>
      <c r="B189" s="133" t="s">
        <v>305</v>
      </c>
      <c r="C189" s="33"/>
      <c r="D189" s="134"/>
      <c r="E189" s="135"/>
      <c r="F189" s="134"/>
      <c r="G189" s="135"/>
      <c r="H189" s="209"/>
      <c r="I189" s="210">
        <f>SUM(I186:I188)</f>
        <v>465.77</v>
      </c>
      <c r="J189" s="179">
        <f>I189/I272</f>
        <v>2.9106653033360438E-4</v>
      </c>
      <c r="L189" s="129">
        <f>F186+F187+F188+G186+G187+G188</f>
        <v>372.28000000000003</v>
      </c>
      <c r="M189" s="129"/>
      <c r="N189" s="282"/>
      <c r="O189" s="282"/>
      <c r="R189" s="276"/>
      <c r="S189" s="276"/>
    </row>
    <row r="190" spans="1:19" x14ac:dyDescent="0.2">
      <c r="A190" s="207" t="s">
        <v>47</v>
      </c>
      <c r="B190" s="42" t="s">
        <v>306</v>
      </c>
      <c r="C190" s="45"/>
      <c r="D190" s="130"/>
      <c r="E190" s="131"/>
      <c r="F190" s="130"/>
      <c r="G190" s="131"/>
      <c r="H190" s="171"/>
      <c r="I190" s="172"/>
      <c r="J190" s="173"/>
      <c r="N190" s="130"/>
      <c r="O190" s="130"/>
      <c r="R190" s="276"/>
      <c r="S190" s="276"/>
    </row>
    <row r="191" spans="1:19" ht="15" thickBot="1" x14ac:dyDescent="0.25">
      <c r="A191" s="207" t="s">
        <v>307</v>
      </c>
      <c r="B191" s="42" t="s">
        <v>308</v>
      </c>
      <c r="C191" s="45" t="s">
        <v>21</v>
      </c>
      <c r="D191" s="130">
        <v>4</v>
      </c>
      <c r="E191" s="131">
        <v>15.41</v>
      </c>
      <c r="F191" s="130">
        <f>D191*E191*R191</f>
        <v>48.4024</v>
      </c>
      <c r="G191" s="131">
        <f>D191*E191*S191</f>
        <v>13.2376</v>
      </c>
      <c r="H191" s="171">
        <v>0.25109999999999999</v>
      </c>
      <c r="I191" s="172">
        <f t="shared" si="14"/>
        <v>77.12</v>
      </c>
      <c r="J191" s="173">
        <f>I191/I272</f>
        <v>4.8193423404958607E-5</v>
      </c>
      <c r="N191" s="130">
        <v>48.4024</v>
      </c>
      <c r="O191" s="130">
        <v>13.2376</v>
      </c>
      <c r="Q191" s="18">
        <f t="shared" si="22"/>
        <v>61.64</v>
      </c>
      <c r="R191" s="276">
        <f t="shared" si="23"/>
        <v>0.7852433484750162</v>
      </c>
      <c r="S191" s="276">
        <f t="shared" si="24"/>
        <v>0.21475665152498377</v>
      </c>
    </row>
    <row r="192" spans="1:19" ht="15.75" thickBot="1" x14ac:dyDescent="0.3">
      <c r="A192" s="208" t="s">
        <v>467</v>
      </c>
      <c r="B192" s="133" t="s">
        <v>309</v>
      </c>
      <c r="C192" s="33"/>
      <c r="D192" s="134"/>
      <c r="E192" s="135"/>
      <c r="F192" s="134"/>
      <c r="G192" s="135"/>
      <c r="H192" s="209"/>
      <c r="I192" s="210">
        <f>SUM(I191)</f>
        <v>77.12</v>
      </c>
      <c r="J192" s="179">
        <f>I192/I272</f>
        <v>4.8193423404958607E-5</v>
      </c>
      <c r="L192" s="129">
        <f>F191+G191</f>
        <v>61.64</v>
      </c>
      <c r="M192" s="129"/>
      <c r="N192" s="282"/>
      <c r="O192" s="282"/>
      <c r="R192" s="276"/>
      <c r="S192" s="276"/>
    </row>
    <row r="193" spans="1:19" ht="15.75" thickBot="1" x14ac:dyDescent="0.3">
      <c r="A193" s="212" t="s">
        <v>468</v>
      </c>
      <c r="B193" s="31" t="s">
        <v>310</v>
      </c>
      <c r="C193" s="24"/>
      <c r="D193" s="136"/>
      <c r="E193" s="137"/>
      <c r="F193" s="136"/>
      <c r="G193" s="137"/>
      <c r="H193" s="213"/>
      <c r="I193" s="214">
        <f>I189+I192</f>
        <v>542.89</v>
      </c>
      <c r="J193" s="215">
        <f>I193/I272</f>
        <v>3.3925995373856296E-4</v>
      </c>
      <c r="L193" s="140">
        <f>L189+L192</f>
        <v>433.92</v>
      </c>
      <c r="M193" s="277"/>
      <c r="N193" s="283"/>
      <c r="O193" s="283"/>
      <c r="R193" s="276"/>
      <c r="S193" s="276"/>
    </row>
    <row r="194" spans="1:19" x14ac:dyDescent="0.2">
      <c r="A194" s="207" t="s">
        <v>100</v>
      </c>
      <c r="B194" s="42" t="s">
        <v>101</v>
      </c>
      <c r="C194" s="45"/>
      <c r="D194" s="130"/>
      <c r="E194" s="131"/>
      <c r="F194" s="130"/>
      <c r="G194" s="131"/>
      <c r="H194" s="171"/>
      <c r="I194" s="172"/>
      <c r="J194" s="173"/>
      <c r="N194" s="130"/>
      <c r="O194" s="130"/>
      <c r="R194" s="276"/>
      <c r="S194" s="276"/>
    </row>
    <row r="195" spans="1:19" x14ac:dyDescent="0.2">
      <c r="A195" s="207" t="s">
        <v>100</v>
      </c>
      <c r="B195" s="42" t="s">
        <v>103</v>
      </c>
      <c r="C195" s="45"/>
      <c r="D195" s="130"/>
      <c r="E195" s="131"/>
      <c r="F195" s="130"/>
      <c r="G195" s="131"/>
      <c r="H195" s="171"/>
      <c r="I195" s="172"/>
      <c r="J195" s="173"/>
      <c r="N195" s="130"/>
      <c r="O195" s="130"/>
      <c r="R195" s="276"/>
      <c r="S195" s="276"/>
    </row>
    <row r="196" spans="1:19" x14ac:dyDescent="0.2">
      <c r="A196" s="207" t="s">
        <v>311</v>
      </c>
      <c r="B196" s="42" t="s">
        <v>104</v>
      </c>
      <c r="C196" s="45" t="s">
        <v>31</v>
      </c>
      <c r="D196" s="130">
        <v>3505.08</v>
      </c>
      <c r="E196" s="131">
        <v>1.98</v>
      </c>
      <c r="F196" s="130">
        <f>D196*E196*R196</f>
        <v>6940.0583999999999</v>
      </c>
      <c r="G196" s="131">
        <f t="shared" ref="G196:G197" si="27">D196*E196*S196</f>
        <v>0</v>
      </c>
      <c r="H196" s="171">
        <v>0.25109999999999999</v>
      </c>
      <c r="I196" s="172">
        <f t="shared" si="14"/>
        <v>8682.7099999999991</v>
      </c>
      <c r="J196" s="173">
        <f>I196/I272</f>
        <v>5.425953310846319E-3</v>
      </c>
      <c r="N196" s="130">
        <v>6940.0583999999999</v>
      </c>
      <c r="O196" s="130">
        <v>0</v>
      </c>
      <c r="Q196" s="18">
        <f t="shared" si="22"/>
        <v>6940.0583999999999</v>
      </c>
      <c r="R196" s="276">
        <f t="shared" si="23"/>
        <v>1</v>
      </c>
      <c r="S196" s="276">
        <f t="shared" si="24"/>
        <v>0</v>
      </c>
    </row>
    <row r="197" spans="1:19" x14ac:dyDescent="0.2">
      <c r="A197" s="207" t="s">
        <v>312</v>
      </c>
      <c r="B197" s="42" t="s">
        <v>105</v>
      </c>
      <c r="C197" s="45" t="s">
        <v>31</v>
      </c>
      <c r="D197" s="130">
        <v>3505.08</v>
      </c>
      <c r="E197" s="131">
        <v>0.66</v>
      </c>
      <c r="F197" s="130">
        <f t="shared" ref="F197:F198" si="28">D197*E197*R197</f>
        <v>2313.3528000000001</v>
      </c>
      <c r="G197" s="131">
        <f t="shared" si="27"/>
        <v>0</v>
      </c>
      <c r="H197" s="171">
        <v>0.25109999999999999</v>
      </c>
      <c r="I197" s="172">
        <f t="shared" si="14"/>
        <v>2894.24</v>
      </c>
      <c r="J197" s="173">
        <f>I197/I272</f>
        <v>1.8086531866645149E-3</v>
      </c>
      <c r="N197" s="130">
        <v>2313.3528000000001</v>
      </c>
      <c r="O197" s="130">
        <v>0</v>
      </c>
      <c r="Q197" s="18">
        <f t="shared" si="22"/>
        <v>2313.3528000000001</v>
      </c>
      <c r="R197" s="276">
        <f t="shared" si="23"/>
        <v>1</v>
      </c>
      <c r="S197" s="276">
        <f t="shared" si="24"/>
        <v>0</v>
      </c>
    </row>
    <row r="198" spans="1:19" ht="15" thickBot="1" x14ac:dyDescent="0.25">
      <c r="A198" s="207" t="s">
        <v>313</v>
      </c>
      <c r="B198" s="42" t="s">
        <v>106</v>
      </c>
      <c r="C198" s="45" t="s">
        <v>31</v>
      </c>
      <c r="D198" s="170">
        <v>7459</v>
      </c>
      <c r="E198" s="131">
        <v>2.25</v>
      </c>
      <c r="F198" s="130">
        <f t="shared" si="28"/>
        <v>16782.75</v>
      </c>
      <c r="G198" s="131">
        <f>D198*E198*S198</f>
        <v>0</v>
      </c>
      <c r="H198" s="171">
        <v>0.25109999999999999</v>
      </c>
      <c r="I198" s="172">
        <f t="shared" si="14"/>
        <v>20996.9</v>
      </c>
      <c r="J198" s="173">
        <f>I198/I272</f>
        <v>1.3121271938428105E-2</v>
      </c>
      <c r="N198" s="130">
        <v>15772.86</v>
      </c>
      <c r="O198" s="130">
        <v>0</v>
      </c>
      <c r="Q198" s="18">
        <f t="shared" si="22"/>
        <v>15772.86</v>
      </c>
      <c r="R198" s="276">
        <f t="shared" si="23"/>
        <v>1</v>
      </c>
      <c r="S198" s="276">
        <f t="shared" si="24"/>
        <v>0</v>
      </c>
    </row>
    <row r="199" spans="1:19" ht="15.75" thickBot="1" x14ac:dyDescent="0.3">
      <c r="A199" s="208" t="s">
        <v>466</v>
      </c>
      <c r="B199" s="133" t="s">
        <v>314</v>
      </c>
      <c r="C199" s="33"/>
      <c r="D199" s="134"/>
      <c r="E199" s="135"/>
      <c r="F199" s="134"/>
      <c r="G199" s="135"/>
      <c r="H199" s="209"/>
      <c r="I199" s="210">
        <f>SUM(I196:I198)</f>
        <v>32573.85</v>
      </c>
      <c r="J199" s="179">
        <f>I199/I272</f>
        <v>2.0355878435938935E-2</v>
      </c>
      <c r="L199" s="129">
        <f>F196+F197+F198</f>
        <v>26036.161200000002</v>
      </c>
      <c r="M199" s="129"/>
      <c r="N199" s="282"/>
      <c r="O199" s="282"/>
      <c r="R199" s="276"/>
      <c r="S199" s="276"/>
    </row>
    <row r="200" spans="1:19" ht="15.75" thickBot="1" x14ac:dyDescent="0.3">
      <c r="A200" s="212" t="s">
        <v>465</v>
      </c>
      <c r="B200" s="31" t="s">
        <v>315</v>
      </c>
      <c r="C200" s="24"/>
      <c r="D200" s="136"/>
      <c r="E200" s="137"/>
      <c r="F200" s="136"/>
      <c r="G200" s="137"/>
      <c r="H200" s="213"/>
      <c r="I200" s="214">
        <f>I199</f>
        <v>32573.85</v>
      </c>
      <c r="J200" s="215">
        <f>I200/I272</f>
        <v>2.0355878435938935E-2</v>
      </c>
      <c r="L200" s="140">
        <f>L199</f>
        <v>26036.161200000002</v>
      </c>
      <c r="M200" s="277"/>
      <c r="N200" s="283"/>
      <c r="O200" s="283"/>
      <c r="R200" s="276"/>
      <c r="S200" s="276"/>
    </row>
    <row r="201" spans="1:19" ht="15.75" thickBot="1" x14ac:dyDescent="0.3">
      <c r="A201" s="216"/>
      <c r="B201" s="142" t="s">
        <v>118</v>
      </c>
      <c r="C201" s="143"/>
      <c r="D201" s="144"/>
      <c r="E201" s="145"/>
      <c r="F201" s="144"/>
      <c r="G201" s="145"/>
      <c r="H201" s="217"/>
      <c r="I201" s="218">
        <f>I43+I68+I106+I114+I119+I138+I158+I178+I183+I193+I200</f>
        <v>871061.80999999982</v>
      </c>
      <c r="J201" s="219">
        <f>I201/I272</f>
        <v>0.54433934934154038</v>
      </c>
      <c r="L201" s="146">
        <f>L43+L68+L106+L114+L119+L138+L158+L178+L183+L193+L200</f>
        <v>696236.72386265104</v>
      </c>
      <c r="M201" s="279"/>
      <c r="N201" s="284"/>
      <c r="O201" s="284"/>
      <c r="R201" s="276"/>
      <c r="S201" s="276"/>
    </row>
    <row r="202" spans="1:19" ht="15.75" thickBot="1" x14ac:dyDescent="0.3">
      <c r="A202" s="212" t="s">
        <v>515</v>
      </c>
      <c r="B202" s="31" t="s">
        <v>316</v>
      </c>
      <c r="C202" s="24"/>
      <c r="D202" s="136"/>
      <c r="E202" s="137"/>
      <c r="F202" s="136"/>
      <c r="G202" s="137"/>
      <c r="H202" s="213"/>
      <c r="I202" s="214"/>
      <c r="J202" s="215"/>
      <c r="N202" s="283"/>
      <c r="O202" s="283"/>
      <c r="R202" s="276"/>
      <c r="S202" s="276"/>
    </row>
    <row r="203" spans="1:19" x14ac:dyDescent="0.2">
      <c r="A203" s="207" t="s">
        <v>107</v>
      </c>
      <c r="B203" s="42" t="s">
        <v>108</v>
      </c>
      <c r="C203" s="45"/>
      <c r="D203" s="130"/>
      <c r="E203" s="131"/>
      <c r="F203" s="130"/>
      <c r="G203" s="131"/>
      <c r="H203" s="171"/>
      <c r="I203" s="172"/>
      <c r="J203" s="173"/>
      <c r="N203" s="130"/>
      <c r="O203" s="130"/>
      <c r="R203" s="276"/>
      <c r="S203" s="276"/>
    </row>
    <row r="204" spans="1:19" x14ac:dyDescent="0.2">
      <c r="A204" s="207" t="s">
        <v>22</v>
      </c>
      <c r="B204" s="42" t="s">
        <v>108</v>
      </c>
      <c r="C204" s="45"/>
      <c r="D204" s="130"/>
      <c r="E204" s="131"/>
      <c r="F204" s="130"/>
      <c r="G204" s="131"/>
      <c r="H204" s="171"/>
      <c r="I204" s="172"/>
      <c r="J204" s="173"/>
      <c r="N204" s="130"/>
      <c r="O204" s="130"/>
      <c r="R204" s="276"/>
      <c r="S204" s="276"/>
    </row>
    <row r="205" spans="1:19" ht="42.75" x14ac:dyDescent="0.2">
      <c r="A205" s="207" t="s">
        <v>317</v>
      </c>
      <c r="B205" s="138" t="s">
        <v>318</v>
      </c>
      <c r="C205" s="45" t="s">
        <v>31</v>
      </c>
      <c r="D205" s="170">
        <v>6939.08</v>
      </c>
      <c r="E205" s="131">
        <v>32.630000000000003</v>
      </c>
      <c r="F205" s="130">
        <f>D205*E205*R205</f>
        <v>0</v>
      </c>
      <c r="G205" s="131">
        <f t="shared" ref="G205:G210" si="29">D205*E205*S205</f>
        <v>226422.18040000001</v>
      </c>
      <c r="H205" s="171">
        <v>0.25109999999999999</v>
      </c>
      <c r="I205" s="172">
        <f t="shared" si="14"/>
        <v>283276.78999999998</v>
      </c>
      <c r="J205" s="173">
        <f>I205/I272</f>
        <v>0.17702383663469323</v>
      </c>
      <c r="N205" s="130">
        <v>0</v>
      </c>
      <c r="O205" s="130">
        <v>211776.5312</v>
      </c>
      <c r="Q205" s="18">
        <f t="shared" si="22"/>
        <v>211776.5312</v>
      </c>
      <c r="R205" s="276">
        <f t="shared" si="23"/>
        <v>0</v>
      </c>
      <c r="S205" s="276">
        <f t="shared" si="24"/>
        <v>1</v>
      </c>
    </row>
    <row r="206" spans="1:19" x14ac:dyDescent="0.2">
      <c r="A206" s="207" t="s">
        <v>319</v>
      </c>
      <c r="B206" s="42" t="s">
        <v>320</v>
      </c>
      <c r="C206" s="45" t="s">
        <v>109</v>
      </c>
      <c r="D206" s="170">
        <v>44</v>
      </c>
      <c r="E206" s="131">
        <v>71.81</v>
      </c>
      <c r="F206" s="130">
        <f t="shared" ref="F206:F211" si="30">D206*E206*R206</f>
        <v>0</v>
      </c>
      <c r="G206" s="131">
        <f t="shared" si="29"/>
        <v>3159.6400000000003</v>
      </c>
      <c r="H206" s="171">
        <v>0.25109999999999999</v>
      </c>
      <c r="I206" s="172">
        <f t="shared" si="14"/>
        <v>3953.03</v>
      </c>
      <c r="J206" s="173">
        <f>I206/I272</f>
        <v>2.4703066457793508E-3</v>
      </c>
      <c r="N206" s="130">
        <v>0</v>
      </c>
      <c r="O206" s="130">
        <v>2872.4</v>
      </c>
      <c r="Q206" s="18">
        <f t="shared" si="22"/>
        <v>2872.4</v>
      </c>
      <c r="R206" s="276">
        <f t="shared" si="23"/>
        <v>0</v>
      </c>
      <c r="S206" s="276">
        <f t="shared" si="24"/>
        <v>1</v>
      </c>
    </row>
    <row r="207" spans="1:19" ht="28.5" x14ac:dyDescent="0.2">
      <c r="A207" s="207" t="s">
        <v>321</v>
      </c>
      <c r="B207" s="138" t="s">
        <v>322</v>
      </c>
      <c r="C207" s="45" t="s">
        <v>323</v>
      </c>
      <c r="D207" s="170">
        <v>44</v>
      </c>
      <c r="E207" s="131">
        <v>25</v>
      </c>
      <c r="F207" s="130">
        <f t="shared" si="30"/>
        <v>0</v>
      </c>
      <c r="G207" s="131">
        <f t="shared" si="29"/>
        <v>1100</v>
      </c>
      <c r="H207" s="171">
        <v>0.25109999999999999</v>
      </c>
      <c r="I207" s="172">
        <f t="shared" si="14"/>
        <v>1376.21</v>
      </c>
      <c r="J207" s="173">
        <f>I207/I272</f>
        <v>8.6001389035448759E-4</v>
      </c>
      <c r="N207" s="130">
        <v>0</v>
      </c>
      <c r="O207" s="130">
        <v>1000</v>
      </c>
      <c r="Q207" s="18">
        <f t="shared" si="22"/>
        <v>1000</v>
      </c>
      <c r="R207" s="276">
        <f t="shared" si="23"/>
        <v>0</v>
      </c>
      <c r="S207" s="276">
        <f t="shared" si="24"/>
        <v>1</v>
      </c>
    </row>
    <row r="208" spans="1:19" x14ac:dyDescent="0.2">
      <c r="A208" s="207" t="s">
        <v>324</v>
      </c>
      <c r="B208" s="42" t="s">
        <v>325</v>
      </c>
      <c r="C208" s="45" t="s">
        <v>109</v>
      </c>
      <c r="D208" s="130">
        <v>5</v>
      </c>
      <c r="E208" s="131">
        <v>588</v>
      </c>
      <c r="F208" s="130">
        <f t="shared" si="30"/>
        <v>0</v>
      </c>
      <c r="G208" s="131">
        <f t="shared" si="29"/>
        <v>2940</v>
      </c>
      <c r="H208" s="171">
        <v>0.25109999999999999</v>
      </c>
      <c r="I208" s="172">
        <f t="shared" si="14"/>
        <v>3678.23</v>
      </c>
      <c r="J208" s="173">
        <f>I208/I272</f>
        <v>2.2985800800158309E-3</v>
      </c>
      <c r="N208" s="130">
        <v>0</v>
      </c>
      <c r="O208" s="130">
        <v>2940</v>
      </c>
      <c r="Q208" s="18">
        <f t="shared" si="22"/>
        <v>2940</v>
      </c>
      <c r="R208" s="276">
        <f t="shared" si="23"/>
        <v>0</v>
      </c>
      <c r="S208" s="276">
        <f t="shared" si="24"/>
        <v>1</v>
      </c>
    </row>
    <row r="209" spans="1:19" ht="28.5" x14ac:dyDescent="0.2">
      <c r="A209" s="207" t="s">
        <v>326</v>
      </c>
      <c r="B209" s="138" t="s">
        <v>327</v>
      </c>
      <c r="C209" s="45" t="s">
        <v>31</v>
      </c>
      <c r="D209" s="130">
        <v>11.69</v>
      </c>
      <c r="E209" s="131">
        <v>370.97</v>
      </c>
      <c r="F209" s="130">
        <f t="shared" si="30"/>
        <v>0</v>
      </c>
      <c r="G209" s="131">
        <f t="shared" si="29"/>
        <v>4336.6392999999998</v>
      </c>
      <c r="H209" s="171">
        <v>0.25109999999999999</v>
      </c>
      <c r="I209" s="172">
        <f t="shared" si="14"/>
        <v>5425.57</v>
      </c>
      <c r="J209" s="173">
        <f>I209/I272</f>
        <v>3.3905185713594562E-3</v>
      </c>
      <c r="N209" s="130">
        <v>0</v>
      </c>
      <c r="O209" s="130">
        <v>4336.6400000000003</v>
      </c>
      <c r="Q209" s="18">
        <f t="shared" si="22"/>
        <v>4336.6400000000003</v>
      </c>
      <c r="R209" s="276">
        <f t="shared" si="23"/>
        <v>0</v>
      </c>
      <c r="S209" s="276">
        <f t="shared" si="24"/>
        <v>1</v>
      </c>
    </row>
    <row r="210" spans="1:19" ht="28.5" x14ac:dyDescent="0.2">
      <c r="A210" s="207" t="s">
        <v>328</v>
      </c>
      <c r="B210" s="138" t="s">
        <v>329</v>
      </c>
      <c r="C210" s="45" t="s">
        <v>31</v>
      </c>
      <c r="D210" s="130">
        <v>72.55</v>
      </c>
      <c r="E210" s="131">
        <v>764.89</v>
      </c>
      <c r="F210" s="130">
        <f t="shared" si="30"/>
        <v>0</v>
      </c>
      <c r="G210" s="131">
        <f t="shared" si="29"/>
        <v>55492.769499999995</v>
      </c>
      <c r="H210" s="171">
        <v>0.25109999999999999</v>
      </c>
      <c r="I210" s="172">
        <f t="shared" si="14"/>
        <v>69427</v>
      </c>
      <c r="J210" s="173">
        <f>I210/I272</f>
        <v>4.3385954444191667E-2</v>
      </c>
      <c r="N210" s="130">
        <v>0</v>
      </c>
      <c r="O210" s="130">
        <v>55492.769500000002</v>
      </c>
      <c r="Q210" s="18">
        <f t="shared" si="22"/>
        <v>55492.769500000002</v>
      </c>
      <c r="R210" s="276">
        <f t="shared" si="23"/>
        <v>0</v>
      </c>
      <c r="S210" s="276">
        <f t="shared" si="24"/>
        <v>1</v>
      </c>
    </row>
    <row r="211" spans="1:19" ht="43.5" thickBot="1" x14ac:dyDescent="0.25">
      <c r="A211" s="207" t="s">
        <v>330</v>
      </c>
      <c r="B211" s="138" t="s">
        <v>331</v>
      </c>
      <c r="C211" s="45" t="s">
        <v>31</v>
      </c>
      <c r="D211" s="130">
        <v>435.68</v>
      </c>
      <c r="E211" s="131">
        <v>53.54</v>
      </c>
      <c r="F211" s="130">
        <f t="shared" si="30"/>
        <v>0</v>
      </c>
      <c r="G211" s="131">
        <f>D211*E211*S211</f>
        <v>23326.307199999999</v>
      </c>
      <c r="H211" s="171">
        <v>0.25109999999999999</v>
      </c>
      <c r="I211" s="172">
        <f t="shared" si="14"/>
        <v>29183.54</v>
      </c>
      <c r="J211" s="173">
        <f>I211/I272</f>
        <v>1.8237223802846807E-2</v>
      </c>
      <c r="N211" s="130">
        <v>0</v>
      </c>
      <c r="O211" s="130">
        <v>23326.307199999999</v>
      </c>
      <c r="Q211" s="18">
        <f t="shared" si="22"/>
        <v>23326.307199999999</v>
      </c>
      <c r="R211" s="276">
        <f t="shared" si="23"/>
        <v>0</v>
      </c>
      <c r="S211" s="276">
        <f t="shared" si="24"/>
        <v>1</v>
      </c>
    </row>
    <row r="212" spans="1:19" ht="15.75" thickBot="1" x14ac:dyDescent="0.3">
      <c r="A212" s="208" t="s">
        <v>464</v>
      </c>
      <c r="B212" s="133" t="s">
        <v>332</v>
      </c>
      <c r="C212" s="33"/>
      <c r="D212" s="134"/>
      <c r="E212" s="135"/>
      <c r="F212" s="134"/>
      <c r="G212" s="135"/>
      <c r="H212" s="209"/>
      <c r="I212" s="210">
        <f>SUM(I205:I211)</f>
        <v>396320.37</v>
      </c>
      <c r="J212" s="179">
        <f>I212/I272</f>
        <v>0.24766643406924085</v>
      </c>
      <c r="L212" s="129">
        <f>G205+G206+G207+G208+G209+G210+G211</f>
        <v>316777.53640000004</v>
      </c>
      <c r="M212" s="129"/>
      <c r="N212" s="282"/>
      <c r="O212" s="282"/>
      <c r="R212" s="276"/>
      <c r="S212" s="276"/>
    </row>
    <row r="213" spans="1:19" x14ac:dyDescent="0.2">
      <c r="A213" s="207" t="s">
        <v>110</v>
      </c>
      <c r="B213" s="42" t="s">
        <v>108</v>
      </c>
      <c r="C213" s="45"/>
      <c r="D213" s="130"/>
      <c r="E213" s="131"/>
      <c r="F213" s="130"/>
      <c r="G213" s="131"/>
      <c r="H213" s="171"/>
      <c r="I213" s="172"/>
      <c r="J213" s="173"/>
      <c r="N213" s="130"/>
      <c r="O213" s="130"/>
      <c r="R213" s="276"/>
      <c r="S213" s="276"/>
    </row>
    <row r="214" spans="1:19" ht="15" thickBot="1" x14ac:dyDescent="0.25">
      <c r="A214" s="207" t="s">
        <v>111</v>
      </c>
      <c r="B214" s="42" t="s">
        <v>333</v>
      </c>
      <c r="C214" s="45" t="s">
        <v>109</v>
      </c>
      <c r="D214" s="170">
        <v>103</v>
      </c>
      <c r="E214" s="131">
        <v>514</v>
      </c>
      <c r="F214" s="130">
        <f>D214*E214*R214</f>
        <v>0</v>
      </c>
      <c r="G214" s="131">
        <f>D214*E214*S214</f>
        <v>52942</v>
      </c>
      <c r="H214" s="171">
        <v>0.25109999999999999</v>
      </c>
      <c r="I214" s="172">
        <f t="shared" si="14"/>
        <v>66235.740000000005</v>
      </c>
      <c r="J214" s="173">
        <f>I214/I272</f>
        <v>4.1391689086628027E-2</v>
      </c>
      <c r="N214" s="130">
        <v>0</v>
      </c>
      <c r="O214" s="130">
        <v>49858</v>
      </c>
      <c r="Q214" s="18">
        <f t="shared" si="22"/>
        <v>49858</v>
      </c>
      <c r="R214" s="276">
        <f t="shared" si="23"/>
        <v>0</v>
      </c>
      <c r="S214" s="276">
        <f t="shared" si="24"/>
        <v>1</v>
      </c>
    </row>
    <row r="215" spans="1:19" ht="15.75" thickBot="1" x14ac:dyDescent="0.3">
      <c r="A215" s="208" t="s">
        <v>463</v>
      </c>
      <c r="B215" s="133" t="s">
        <v>334</v>
      </c>
      <c r="C215" s="33"/>
      <c r="D215" s="134"/>
      <c r="E215" s="135"/>
      <c r="F215" s="134"/>
      <c r="G215" s="135"/>
      <c r="H215" s="209"/>
      <c r="I215" s="210">
        <f>I214</f>
        <v>66235.740000000005</v>
      </c>
      <c r="J215" s="179">
        <f>I215/I272</f>
        <v>4.1391689086628027E-2</v>
      </c>
      <c r="L215" s="129">
        <f>G214</f>
        <v>52942</v>
      </c>
      <c r="M215" s="129"/>
      <c r="N215" s="282"/>
      <c r="O215" s="282"/>
      <c r="R215" s="276"/>
      <c r="S215" s="276"/>
    </row>
    <row r="216" spans="1:19" ht="15.75" thickBot="1" x14ac:dyDescent="0.3">
      <c r="A216" s="212" t="s">
        <v>462</v>
      </c>
      <c r="B216" s="31" t="s">
        <v>335</v>
      </c>
      <c r="C216" s="24"/>
      <c r="D216" s="136"/>
      <c r="E216" s="137"/>
      <c r="F216" s="136"/>
      <c r="G216" s="137"/>
      <c r="H216" s="213"/>
      <c r="I216" s="214">
        <f>I212+I215</f>
        <v>462556.11</v>
      </c>
      <c r="J216" s="215">
        <f>I216/I272</f>
        <v>0.28905812315586887</v>
      </c>
      <c r="L216" s="140">
        <f>L212+L215</f>
        <v>369719.53640000004</v>
      </c>
      <c r="M216" s="277"/>
      <c r="N216" s="283"/>
      <c r="O216" s="283"/>
      <c r="R216" s="276"/>
      <c r="S216" s="276"/>
    </row>
    <row r="217" spans="1:19" ht="15.75" thickBot="1" x14ac:dyDescent="0.3">
      <c r="A217" s="216"/>
      <c r="B217" s="142" t="s">
        <v>118</v>
      </c>
      <c r="C217" s="143"/>
      <c r="D217" s="144"/>
      <c r="E217" s="145"/>
      <c r="F217" s="144"/>
      <c r="G217" s="145"/>
      <c r="H217" s="217"/>
      <c r="I217" s="218">
        <f>I216</f>
        <v>462556.11</v>
      </c>
      <c r="J217" s="219">
        <f>I217/I272</f>
        <v>0.28905812315586887</v>
      </c>
      <c r="L217" s="147">
        <f>L216</f>
        <v>369719.53640000004</v>
      </c>
      <c r="M217" s="280"/>
      <c r="N217" s="284"/>
      <c r="O217" s="284"/>
      <c r="R217" s="276"/>
      <c r="S217" s="276"/>
    </row>
    <row r="218" spans="1:19" ht="15.75" thickBot="1" x14ac:dyDescent="0.3">
      <c r="A218" s="212" t="s">
        <v>516</v>
      </c>
      <c r="B218" s="31" t="s">
        <v>336</v>
      </c>
      <c r="C218" s="24"/>
      <c r="D218" s="136"/>
      <c r="E218" s="137"/>
      <c r="F218" s="136"/>
      <c r="G218" s="137"/>
      <c r="H218" s="213"/>
      <c r="I218" s="214"/>
      <c r="J218" s="215"/>
      <c r="N218" s="283"/>
      <c r="O218" s="283"/>
      <c r="R218" s="276"/>
      <c r="S218" s="276"/>
    </row>
    <row r="219" spans="1:19" x14ac:dyDescent="0.2">
      <c r="A219" s="207" t="s">
        <v>47</v>
      </c>
      <c r="B219" s="42" t="s">
        <v>48</v>
      </c>
      <c r="C219" s="45"/>
      <c r="D219" s="130"/>
      <c r="E219" s="131"/>
      <c r="F219" s="130"/>
      <c r="G219" s="131"/>
      <c r="H219" s="171"/>
      <c r="I219" s="172"/>
      <c r="J219" s="173"/>
      <c r="N219" s="130"/>
      <c r="O219" s="130"/>
      <c r="R219" s="276"/>
      <c r="S219" s="276"/>
    </row>
    <row r="220" spans="1:19" x14ac:dyDescent="0.2">
      <c r="A220" s="207" t="s">
        <v>22</v>
      </c>
      <c r="B220" s="42" t="s">
        <v>49</v>
      </c>
      <c r="C220" s="45"/>
      <c r="D220" s="130"/>
      <c r="E220" s="131"/>
      <c r="F220" s="130"/>
      <c r="G220" s="131"/>
      <c r="H220" s="171"/>
      <c r="I220" s="172"/>
      <c r="J220" s="173"/>
      <c r="N220" s="130"/>
      <c r="O220" s="130"/>
      <c r="R220" s="276"/>
      <c r="S220" s="276"/>
    </row>
    <row r="221" spans="1:19" x14ac:dyDescent="0.2">
      <c r="A221" s="207" t="s">
        <v>50</v>
      </c>
      <c r="B221" s="42" t="s">
        <v>183</v>
      </c>
      <c r="C221" s="45" t="s">
        <v>36</v>
      </c>
      <c r="D221" s="130">
        <v>14.51</v>
      </c>
      <c r="E221" s="131">
        <v>52.96</v>
      </c>
      <c r="F221" s="130">
        <f>D221*E221*R221</f>
        <v>768.44960000000003</v>
      </c>
      <c r="G221" s="131">
        <f>D221*E221*S221</f>
        <v>0</v>
      </c>
      <c r="H221" s="171">
        <v>0.25109999999999999</v>
      </c>
      <c r="I221" s="172">
        <f t="shared" si="14"/>
        <v>961.41</v>
      </c>
      <c r="J221" s="173">
        <f>I221/I272</f>
        <v>6.0079926343051412E-4</v>
      </c>
      <c r="N221" s="130">
        <v>768.44960000000003</v>
      </c>
      <c r="O221" s="130">
        <v>0</v>
      </c>
      <c r="Q221" s="18">
        <f t="shared" si="22"/>
        <v>768.44960000000003</v>
      </c>
      <c r="R221" s="276">
        <f t="shared" si="23"/>
        <v>1</v>
      </c>
      <c r="S221" s="276">
        <f t="shared" si="24"/>
        <v>0</v>
      </c>
    </row>
    <row r="222" spans="1:19" ht="15" thickBot="1" x14ac:dyDescent="0.25">
      <c r="A222" s="207" t="s">
        <v>184</v>
      </c>
      <c r="B222" s="42" t="s">
        <v>185</v>
      </c>
      <c r="C222" s="45" t="s">
        <v>36</v>
      </c>
      <c r="D222" s="130">
        <v>0.15</v>
      </c>
      <c r="E222" s="131">
        <v>92.68</v>
      </c>
      <c r="F222" s="130">
        <f>D222*E222*R222</f>
        <v>13.902000000000001</v>
      </c>
      <c r="G222" s="131">
        <f>D222*E222*S222</f>
        <v>0</v>
      </c>
      <c r="H222" s="171">
        <v>0.25109999999999999</v>
      </c>
      <c r="I222" s="172">
        <f t="shared" si="14"/>
        <v>17.39</v>
      </c>
      <c r="J222" s="173">
        <f>I222/I272</f>
        <v>1.0867267025573524E-5</v>
      </c>
      <c r="N222" s="130">
        <v>13.901999999999999</v>
      </c>
      <c r="O222" s="130">
        <v>0</v>
      </c>
      <c r="Q222" s="18">
        <f t="shared" si="22"/>
        <v>13.901999999999999</v>
      </c>
      <c r="R222" s="276">
        <f t="shared" si="23"/>
        <v>1</v>
      </c>
      <c r="S222" s="276">
        <f t="shared" si="24"/>
        <v>0</v>
      </c>
    </row>
    <row r="223" spans="1:19" ht="15.75" thickBot="1" x14ac:dyDescent="0.3">
      <c r="A223" s="208" t="s">
        <v>461</v>
      </c>
      <c r="B223" s="133" t="s">
        <v>186</v>
      </c>
      <c r="C223" s="33"/>
      <c r="D223" s="134"/>
      <c r="E223" s="135"/>
      <c r="F223" s="134"/>
      <c r="G223" s="135"/>
      <c r="H223" s="209"/>
      <c r="I223" s="210">
        <f>SUM(I221:I222)</f>
        <v>978.8</v>
      </c>
      <c r="J223" s="179">
        <f>I223/I272</f>
        <v>6.1166653045608766E-4</v>
      </c>
      <c r="L223" s="129">
        <f>F221+F222</f>
        <v>782.35160000000008</v>
      </c>
      <c r="M223" s="129"/>
      <c r="N223" s="282"/>
      <c r="O223" s="282"/>
      <c r="R223" s="276"/>
      <c r="S223" s="276"/>
    </row>
    <row r="224" spans="1:19" ht="28.5" x14ac:dyDescent="0.2">
      <c r="A224" s="207" t="s">
        <v>23</v>
      </c>
      <c r="B224" s="138" t="s">
        <v>51</v>
      </c>
      <c r="C224" s="45"/>
      <c r="D224" s="130"/>
      <c r="E224" s="131"/>
      <c r="F224" s="130"/>
      <c r="G224" s="131"/>
      <c r="H224" s="171"/>
      <c r="I224" s="172"/>
      <c r="J224" s="173"/>
      <c r="N224" s="130"/>
      <c r="O224" s="130"/>
      <c r="R224" s="276"/>
      <c r="S224" s="276"/>
    </row>
    <row r="225" spans="1:19" x14ac:dyDescent="0.2">
      <c r="A225" s="207" t="s">
        <v>52</v>
      </c>
      <c r="B225" s="42" t="s">
        <v>187</v>
      </c>
      <c r="C225" s="45" t="s">
        <v>36</v>
      </c>
      <c r="D225" s="130">
        <v>159.66</v>
      </c>
      <c r="E225" s="131">
        <v>17.72</v>
      </c>
      <c r="F225" s="130">
        <f>D225*E225*R225</f>
        <v>2829.1751999999997</v>
      </c>
      <c r="G225" s="131">
        <f>D225*E225*S225</f>
        <v>0</v>
      </c>
      <c r="H225" s="171">
        <v>0.25109999999999999</v>
      </c>
      <c r="I225" s="172">
        <f t="shared" si="14"/>
        <v>3539.58</v>
      </c>
      <c r="J225" s="173">
        <f>I225/I272</f>
        <v>2.2119356537308528E-3</v>
      </c>
      <c r="N225" s="130">
        <v>2829.1752000000001</v>
      </c>
      <c r="O225" s="130">
        <v>0</v>
      </c>
      <c r="Q225" s="18">
        <f t="shared" si="22"/>
        <v>2829.1752000000001</v>
      </c>
      <c r="R225" s="276">
        <f t="shared" si="23"/>
        <v>1</v>
      </c>
      <c r="S225" s="276">
        <f t="shared" si="24"/>
        <v>0</v>
      </c>
    </row>
    <row r="226" spans="1:19" ht="29.25" thickBot="1" x14ac:dyDescent="0.25">
      <c r="A226" s="207" t="s">
        <v>189</v>
      </c>
      <c r="B226" s="138" t="s">
        <v>337</v>
      </c>
      <c r="C226" s="45" t="s">
        <v>36</v>
      </c>
      <c r="D226" s="130">
        <v>1.61</v>
      </c>
      <c r="E226" s="131">
        <v>21.26</v>
      </c>
      <c r="F226" s="130">
        <f>D226*E226*R226</f>
        <v>34.228600000000007</v>
      </c>
      <c r="G226" s="131">
        <f>D226*E226*S226</f>
        <v>0</v>
      </c>
      <c r="H226" s="171">
        <v>0.25109999999999999</v>
      </c>
      <c r="I226" s="172">
        <f t="shared" si="14"/>
        <v>42.82</v>
      </c>
      <c r="J226" s="173">
        <f>I226/I272</f>
        <v>2.67588484206474E-5</v>
      </c>
      <c r="N226" s="130">
        <v>34.2286</v>
      </c>
      <c r="O226" s="130">
        <v>0</v>
      </c>
      <c r="Q226" s="18">
        <f t="shared" si="22"/>
        <v>34.2286</v>
      </c>
      <c r="R226" s="276">
        <f t="shared" si="23"/>
        <v>1</v>
      </c>
      <c r="S226" s="276">
        <f t="shared" si="24"/>
        <v>0</v>
      </c>
    </row>
    <row r="227" spans="1:19" ht="30.75" thickBot="1" x14ac:dyDescent="0.3">
      <c r="A227" s="208" t="s">
        <v>460</v>
      </c>
      <c r="B227" s="139" t="s">
        <v>193</v>
      </c>
      <c r="C227" s="33"/>
      <c r="D227" s="134"/>
      <c r="E227" s="135"/>
      <c r="F227" s="134"/>
      <c r="G227" s="135"/>
      <c r="H227" s="209"/>
      <c r="I227" s="210">
        <f>SUM(I225:I226)</f>
        <v>3582.4</v>
      </c>
      <c r="J227" s="179">
        <f>I227/I272</f>
        <v>2.2386945021515003E-3</v>
      </c>
      <c r="L227" s="129">
        <f>F225+F226</f>
        <v>2863.4037999999996</v>
      </c>
      <c r="M227" s="129"/>
      <c r="N227" s="282"/>
      <c r="O227" s="282"/>
      <c r="R227" s="276"/>
      <c r="S227" s="276"/>
    </row>
    <row r="228" spans="1:19" x14ac:dyDescent="0.2">
      <c r="A228" s="207" t="s">
        <v>54</v>
      </c>
      <c r="B228" s="42" t="s">
        <v>204</v>
      </c>
      <c r="C228" s="45"/>
      <c r="D228" s="130"/>
      <c r="E228" s="131"/>
      <c r="F228" s="130"/>
      <c r="G228" s="131"/>
      <c r="H228" s="171"/>
      <c r="I228" s="172"/>
      <c r="J228" s="173"/>
      <c r="N228" s="130"/>
      <c r="O228" s="130"/>
      <c r="R228" s="276"/>
      <c r="S228" s="276"/>
    </row>
    <row r="229" spans="1:19" x14ac:dyDescent="0.2">
      <c r="A229" s="207" t="s">
        <v>55</v>
      </c>
      <c r="B229" s="42" t="s">
        <v>57</v>
      </c>
      <c r="C229" s="45" t="s">
        <v>36</v>
      </c>
      <c r="D229" s="170">
        <v>60.71</v>
      </c>
      <c r="E229" s="131">
        <v>11.91</v>
      </c>
      <c r="F229" s="130">
        <f>D229*E229*R229</f>
        <v>723.05610000000001</v>
      </c>
      <c r="G229" s="131">
        <f>D229*E229*S229</f>
        <v>0</v>
      </c>
      <c r="H229" s="171">
        <v>0.25109999999999999</v>
      </c>
      <c r="I229" s="172">
        <f t="shared" si="14"/>
        <v>904.62</v>
      </c>
      <c r="J229" s="173">
        <f>I229/I272</f>
        <v>5.6531035633549862E-4</v>
      </c>
      <c r="N229" s="130">
        <v>698.4</v>
      </c>
      <c r="O229" s="130">
        <v>0</v>
      </c>
      <c r="Q229" s="18">
        <f t="shared" si="22"/>
        <v>698.4</v>
      </c>
      <c r="R229" s="276">
        <f t="shared" si="23"/>
        <v>1</v>
      </c>
      <c r="S229" s="276">
        <f t="shared" si="24"/>
        <v>0</v>
      </c>
    </row>
    <row r="230" spans="1:19" ht="15" thickBot="1" x14ac:dyDescent="0.25">
      <c r="A230" s="207" t="s">
        <v>56</v>
      </c>
      <c r="B230" s="42" t="s">
        <v>58</v>
      </c>
      <c r="C230" s="45" t="s">
        <v>36</v>
      </c>
      <c r="D230" s="170">
        <v>123.22</v>
      </c>
      <c r="E230" s="131">
        <v>2.42</v>
      </c>
      <c r="F230" s="130">
        <f>D230*E230*R230</f>
        <v>298.19239999999996</v>
      </c>
      <c r="G230" s="131">
        <f>D230*E230*S230</f>
        <v>0</v>
      </c>
      <c r="H230" s="171">
        <v>0.25109999999999999</v>
      </c>
      <c r="I230" s="172">
        <f t="shared" si="14"/>
        <v>373.07</v>
      </c>
      <c r="J230" s="173">
        <f>I230/I272</f>
        <v>2.331369355509324E-4</v>
      </c>
      <c r="N230" s="130">
        <v>283.84179999999998</v>
      </c>
      <c r="O230" s="130">
        <v>0</v>
      </c>
      <c r="Q230" s="18">
        <f t="shared" si="22"/>
        <v>283.84179999999998</v>
      </c>
      <c r="R230" s="276">
        <f t="shared" si="23"/>
        <v>1</v>
      </c>
      <c r="S230" s="276">
        <f t="shared" si="24"/>
        <v>0</v>
      </c>
    </row>
    <row r="231" spans="1:19" ht="15.75" thickBot="1" x14ac:dyDescent="0.3">
      <c r="A231" s="208" t="s">
        <v>459</v>
      </c>
      <c r="B231" s="133" t="s">
        <v>205</v>
      </c>
      <c r="C231" s="33"/>
      <c r="D231" s="134"/>
      <c r="E231" s="135"/>
      <c r="F231" s="134"/>
      <c r="G231" s="135"/>
      <c r="H231" s="209"/>
      <c r="I231" s="210">
        <f>SUM(I229:I230)</f>
        <v>1277.69</v>
      </c>
      <c r="J231" s="179">
        <f>I231/I272</f>
        <v>7.9844729188643102E-4</v>
      </c>
      <c r="L231" s="129">
        <f>F229+F230</f>
        <v>1021.2484999999999</v>
      </c>
      <c r="M231" s="129"/>
      <c r="N231" s="282"/>
      <c r="O231" s="282"/>
      <c r="R231" s="276"/>
      <c r="S231" s="276"/>
    </row>
    <row r="232" spans="1:19" x14ac:dyDescent="0.2">
      <c r="A232" s="207" t="s">
        <v>59</v>
      </c>
      <c r="B232" s="42" t="s">
        <v>60</v>
      </c>
      <c r="C232" s="45"/>
      <c r="D232" s="130"/>
      <c r="E232" s="131"/>
      <c r="F232" s="130"/>
      <c r="G232" s="131"/>
      <c r="H232" s="171"/>
      <c r="I232" s="172"/>
      <c r="J232" s="173"/>
      <c r="N232" s="130"/>
      <c r="O232" s="130"/>
      <c r="R232" s="276"/>
      <c r="S232" s="276"/>
    </row>
    <row r="233" spans="1:19" x14ac:dyDescent="0.2">
      <c r="A233" s="207" t="s">
        <v>61</v>
      </c>
      <c r="B233" s="42" t="s">
        <v>57</v>
      </c>
      <c r="C233" s="45" t="s">
        <v>36</v>
      </c>
      <c r="D233" s="170">
        <v>60.71</v>
      </c>
      <c r="E233" s="131">
        <v>33.1</v>
      </c>
      <c r="F233" s="130">
        <f>D233*E233*R233</f>
        <v>2009.5010000000002</v>
      </c>
      <c r="G233" s="131">
        <f>D233*E233*S233</f>
        <v>0</v>
      </c>
      <c r="H233" s="171">
        <v>0.25109999999999999</v>
      </c>
      <c r="I233" s="172">
        <f t="shared" si="14"/>
        <v>2514.09</v>
      </c>
      <c r="J233" s="173">
        <f>I233/I272</f>
        <v>1.571091854877754E-3</v>
      </c>
      <c r="N233" s="130">
        <v>1940.9839999999999</v>
      </c>
      <c r="O233" s="130">
        <v>0</v>
      </c>
      <c r="Q233" s="18">
        <f t="shared" ref="Q233:Q268" si="31">N233+O233</f>
        <v>1940.9839999999999</v>
      </c>
      <c r="R233" s="276">
        <f t="shared" ref="R233:R268" si="32">N233/Q233</f>
        <v>1</v>
      </c>
      <c r="S233" s="276">
        <f t="shared" ref="S233:S268" si="33">O233/Q233</f>
        <v>0</v>
      </c>
    </row>
    <row r="234" spans="1:19" ht="15" thickBot="1" x14ac:dyDescent="0.25">
      <c r="A234" s="207" t="s">
        <v>62</v>
      </c>
      <c r="B234" s="42" t="s">
        <v>58</v>
      </c>
      <c r="C234" s="45" t="s">
        <v>36</v>
      </c>
      <c r="D234" s="170">
        <v>123.22</v>
      </c>
      <c r="E234" s="131">
        <v>6.34</v>
      </c>
      <c r="F234" s="130">
        <f>D234*E234*R234</f>
        <v>781.21479999999997</v>
      </c>
      <c r="G234" s="131">
        <f>D234*E234*S234</f>
        <v>0</v>
      </c>
      <c r="H234" s="171">
        <v>0.25109999999999999</v>
      </c>
      <c r="I234" s="172">
        <f t="shared" si="14"/>
        <v>977.38</v>
      </c>
      <c r="J234" s="173">
        <f>I234/I272</f>
        <v>6.1077915155003163E-4</v>
      </c>
      <c r="N234" s="130">
        <v>743.61860000000001</v>
      </c>
      <c r="O234" s="130">
        <v>0</v>
      </c>
      <c r="Q234" s="18">
        <f t="shared" si="31"/>
        <v>743.61860000000001</v>
      </c>
      <c r="R234" s="276">
        <f t="shared" si="32"/>
        <v>1</v>
      </c>
      <c r="S234" s="276">
        <f t="shared" si="33"/>
        <v>0</v>
      </c>
    </row>
    <row r="235" spans="1:19" ht="15.75" thickBot="1" x14ac:dyDescent="0.3">
      <c r="A235" s="208" t="s">
        <v>458</v>
      </c>
      <c r="B235" s="133" t="s">
        <v>206</v>
      </c>
      <c r="C235" s="33"/>
      <c r="D235" s="134"/>
      <c r="E235" s="135"/>
      <c r="F235" s="134"/>
      <c r="G235" s="135"/>
      <c r="H235" s="209"/>
      <c r="I235" s="210">
        <f>SUM(I233:I234)</f>
        <v>3491.4700000000003</v>
      </c>
      <c r="J235" s="179">
        <f>I235/I272</f>
        <v>2.1818710064277855E-3</v>
      </c>
      <c r="L235" s="129">
        <f>F233+F234</f>
        <v>2790.7157999999999</v>
      </c>
      <c r="M235" s="129"/>
      <c r="N235" s="282"/>
      <c r="O235" s="282"/>
      <c r="R235" s="276"/>
      <c r="S235" s="276"/>
    </row>
    <row r="236" spans="1:19" ht="15.75" thickBot="1" x14ac:dyDescent="0.3">
      <c r="A236" s="212" t="s">
        <v>457</v>
      </c>
      <c r="B236" s="31" t="s">
        <v>217</v>
      </c>
      <c r="C236" s="24"/>
      <c r="D236" s="136"/>
      <c r="E236" s="137"/>
      <c r="F236" s="136"/>
      <c r="G236" s="137"/>
      <c r="H236" s="213"/>
      <c r="I236" s="214">
        <f>I223+I227+I231+I235</f>
        <v>9330.36</v>
      </c>
      <c r="J236" s="215">
        <f>I236/I272</f>
        <v>5.8306793309218048E-3</v>
      </c>
      <c r="L236" s="140">
        <f>L223+L227+L231+L235</f>
        <v>7457.7196999999996</v>
      </c>
      <c r="M236" s="277"/>
      <c r="N236" s="283"/>
      <c r="O236" s="283"/>
      <c r="R236" s="276"/>
      <c r="S236" s="276"/>
    </row>
    <row r="237" spans="1:19" x14ac:dyDescent="0.2">
      <c r="A237" s="207" t="s">
        <v>45</v>
      </c>
      <c r="B237" s="42" t="s">
        <v>74</v>
      </c>
      <c r="C237" s="45"/>
      <c r="D237" s="130"/>
      <c r="E237" s="131"/>
      <c r="F237" s="130"/>
      <c r="G237" s="131"/>
      <c r="H237" s="171"/>
      <c r="I237" s="172"/>
      <c r="J237" s="173"/>
      <c r="N237" s="130"/>
      <c r="O237" s="130"/>
      <c r="R237" s="276"/>
      <c r="S237" s="276"/>
    </row>
    <row r="238" spans="1:19" x14ac:dyDescent="0.2">
      <c r="A238" s="207" t="s">
        <v>23</v>
      </c>
      <c r="B238" s="42" t="s">
        <v>75</v>
      </c>
      <c r="C238" s="45"/>
      <c r="D238" s="130"/>
      <c r="E238" s="131"/>
      <c r="F238" s="130"/>
      <c r="G238" s="131"/>
      <c r="H238" s="171"/>
      <c r="I238" s="172"/>
      <c r="J238" s="173"/>
      <c r="N238" s="130"/>
      <c r="O238" s="130"/>
      <c r="R238" s="276"/>
      <c r="S238" s="276"/>
    </row>
    <row r="239" spans="1:19" ht="15" thickBot="1" x14ac:dyDescent="0.25">
      <c r="A239" s="207" t="s">
        <v>113</v>
      </c>
      <c r="B239" s="42" t="s">
        <v>112</v>
      </c>
      <c r="C239" s="45" t="s">
        <v>31</v>
      </c>
      <c r="D239" s="170">
        <v>809.9</v>
      </c>
      <c r="E239" s="131">
        <v>6.75</v>
      </c>
      <c r="F239" s="130">
        <f>D239*E239*R239</f>
        <v>5247.0100410000005</v>
      </c>
      <c r="G239" s="131">
        <f>D239*E239*S239</f>
        <v>219.81495900000002</v>
      </c>
      <c r="H239" s="171">
        <v>0.25109999999999999</v>
      </c>
      <c r="I239" s="172">
        <f t="shared" si="14"/>
        <v>6839.54</v>
      </c>
      <c r="J239" s="173">
        <f>I239/I272</f>
        <v>4.2741292416383636E-3</v>
      </c>
      <c r="N239" s="130">
        <v>5159.5490760000002</v>
      </c>
      <c r="O239" s="130">
        <v>216.150924</v>
      </c>
      <c r="Q239" s="18">
        <f t="shared" si="31"/>
        <v>5375.7</v>
      </c>
      <c r="R239" s="276">
        <f t="shared" si="32"/>
        <v>0.95979111111111115</v>
      </c>
      <c r="S239" s="276">
        <f t="shared" si="33"/>
        <v>4.0208888888888891E-2</v>
      </c>
    </row>
    <row r="240" spans="1:19" ht="15.75" thickBot="1" x14ac:dyDescent="0.3">
      <c r="A240" s="208" t="s">
        <v>456</v>
      </c>
      <c r="B240" s="133" t="s">
        <v>263</v>
      </c>
      <c r="C240" s="33"/>
      <c r="D240" s="134"/>
      <c r="E240" s="135"/>
      <c r="F240" s="134"/>
      <c r="G240" s="135"/>
      <c r="H240" s="209"/>
      <c r="I240" s="210">
        <f>SUM(I239)</f>
        <v>6839.54</v>
      </c>
      <c r="J240" s="179">
        <f>I240/I272</f>
        <v>4.2741292416383636E-3</v>
      </c>
      <c r="L240" s="129">
        <f>F239+G239</f>
        <v>5466.8250000000007</v>
      </c>
      <c r="M240" s="129"/>
      <c r="N240" s="282"/>
      <c r="O240" s="282"/>
      <c r="R240" s="276"/>
      <c r="S240" s="276"/>
    </row>
    <row r="241" spans="1:19" x14ac:dyDescent="0.2">
      <c r="A241" s="207" t="s">
        <v>114</v>
      </c>
      <c r="B241" s="42" t="s">
        <v>115</v>
      </c>
      <c r="C241" s="45"/>
      <c r="D241" s="130"/>
      <c r="E241" s="131"/>
      <c r="F241" s="130"/>
      <c r="G241" s="131"/>
      <c r="H241" s="171"/>
      <c r="I241" s="172"/>
      <c r="J241" s="173"/>
      <c r="N241" s="130"/>
      <c r="O241" s="130"/>
      <c r="R241" s="276"/>
      <c r="S241" s="276"/>
    </row>
    <row r="242" spans="1:19" ht="15" thickBot="1" x14ac:dyDescent="0.25">
      <c r="A242" s="207" t="s">
        <v>116</v>
      </c>
      <c r="B242" s="42" t="s">
        <v>117</v>
      </c>
      <c r="C242" s="45" t="s">
        <v>8</v>
      </c>
      <c r="D242" s="170">
        <v>392</v>
      </c>
      <c r="E242" s="131">
        <v>50.87</v>
      </c>
      <c r="F242" s="130">
        <f>D242*E242*R242</f>
        <v>14238.1456</v>
      </c>
      <c r="G242" s="131">
        <f>D242*E242*S242</f>
        <v>5702.8944000000001</v>
      </c>
      <c r="H242" s="171">
        <v>0.25109999999999999</v>
      </c>
      <c r="I242" s="172">
        <f t="shared" si="14"/>
        <v>24948.240000000002</v>
      </c>
      <c r="J242" s="173">
        <f>I242/I272</f>
        <v>1.5590522478326305E-2</v>
      </c>
      <c r="N242" s="130">
        <v>13148.491599999999</v>
      </c>
      <c r="O242" s="130">
        <v>5266.4484000000002</v>
      </c>
      <c r="Q242" s="18">
        <f t="shared" si="31"/>
        <v>18414.939999999999</v>
      </c>
      <c r="R242" s="276">
        <f t="shared" si="32"/>
        <v>0.71401218793001775</v>
      </c>
      <c r="S242" s="276">
        <f t="shared" si="33"/>
        <v>0.28598781206998236</v>
      </c>
    </row>
    <row r="243" spans="1:19" ht="30.75" thickBot="1" x14ac:dyDescent="0.3">
      <c r="A243" s="208" t="s">
        <v>455</v>
      </c>
      <c r="B243" s="139" t="s">
        <v>338</v>
      </c>
      <c r="C243" s="33"/>
      <c r="D243" s="134"/>
      <c r="E243" s="135"/>
      <c r="F243" s="134"/>
      <c r="G243" s="135"/>
      <c r="H243" s="209"/>
      <c r="I243" s="210">
        <f>SUM(I242)</f>
        <v>24948.240000000002</v>
      </c>
      <c r="J243" s="179">
        <f>I243/I272</f>
        <v>1.5590522478326305E-2</v>
      </c>
      <c r="L243" s="129">
        <f>F242+G242</f>
        <v>19941.04</v>
      </c>
      <c r="M243" s="129"/>
      <c r="N243" s="282"/>
      <c r="O243" s="282"/>
      <c r="R243" s="276"/>
      <c r="S243" s="276"/>
    </row>
    <row r="244" spans="1:19" ht="15.75" thickBot="1" x14ac:dyDescent="0.3">
      <c r="A244" s="212" t="s">
        <v>454</v>
      </c>
      <c r="B244" s="31" t="s">
        <v>277</v>
      </c>
      <c r="C244" s="24"/>
      <c r="D244" s="136"/>
      <c r="E244" s="137"/>
      <c r="F244" s="136"/>
      <c r="G244" s="137"/>
      <c r="H244" s="213"/>
      <c r="I244" s="214">
        <f>I240+I243</f>
        <v>31787.780000000002</v>
      </c>
      <c r="J244" s="215">
        <f>I244/I272</f>
        <v>1.9864651719964668E-2</v>
      </c>
      <c r="L244" s="140">
        <f>L240+L243</f>
        <v>25407.865000000002</v>
      </c>
      <c r="M244" s="277"/>
      <c r="N244" s="283"/>
      <c r="O244" s="283"/>
      <c r="R244" s="276"/>
      <c r="S244" s="276"/>
    </row>
    <row r="245" spans="1:19" x14ac:dyDescent="0.2">
      <c r="A245" s="207" t="s">
        <v>85</v>
      </c>
      <c r="B245" s="42" t="s">
        <v>86</v>
      </c>
      <c r="C245" s="45"/>
      <c r="D245" s="130"/>
      <c r="E245" s="131"/>
      <c r="F245" s="130"/>
      <c r="G245" s="131"/>
      <c r="H245" s="171"/>
      <c r="I245" s="172"/>
      <c r="J245" s="173"/>
      <c r="N245" s="130"/>
      <c r="O245" s="130"/>
      <c r="R245" s="276"/>
      <c r="S245" s="276"/>
    </row>
    <row r="246" spans="1:19" x14ac:dyDescent="0.2">
      <c r="A246" s="207" t="s">
        <v>22</v>
      </c>
      <c r="B246" s="42" t="s">
        <v>87</v>
      </c>
      <c r="C246" s="45"/>
      <c r="D246" s="130"/>
      <c r="E246" s="131"/>
      <c r="F246" s="130"/>
      <c r="G246" s="131"/>
      <c r="H246" s="171"/>
      <c r="I246" s="172"/>
      <c r="J246" s="173"/>
      <c r="N246" s="130"/>
      <c r="O246" s="130"/>
      <c r="R246" s="276"/>
      <c r="S246" s="276"/>
    </row>
    <row r="247" spans="1:19" x14ac:dyDescent="0.2">
      <c r="A247" s="207" t="s">
        <v>88</v>
      </c>
      <c r="B247" s="42" t="s">
        <v>92</v>
      </c>
      <c r="C247" s="45" t="s">
        <v>21</v>
      </c>
      <c r="D247" s="130">
        <v>41.59</v>
      </c>
      <c r="E247" s="131">
        <v>10.59</v>
      </c>
      <c r="F247" s="130">
        <f>D247*E247*R247</f>
        <v>440.43810000000002</v>
      </c>
      <c r="G247" s="131">
        <f t="shared" ref="G247:G248" si="34">D247*E247*S247</f>
        <v>0</v>
      </c>
      <c r="H247" s="171">
        <v>0.25109999999999999</v>
      </c>
      <c r="I247" s="172">
        <f t="shared" si="14"/>
        <v>551.03</v>
      </c>
      <c r="J247" s="173">
        <f>I247/I272</f>
        <v>3.4434675958032077E-4</v>
      </c>
      <c r="N247" s="130">
        <v>440.43810000000002</v>
      </c>
      <c r="O247" s="130">
        <v>0</v>
      </c>
      <c r="Q247" s="18">
        <f t="shared" si="31"/>
        <v>440.43810000000002</v>
      </c>
      <c r="R247" s="276">
        <f t="shared" si="32"/>
        <v>1</v>
      </c>
      <c r="S247" s="276">
        <f t="shared" si="33"/>
        <v>0</v>
      </c>
    </row>
    <row r="248" spans="1:19" x14ac:dyDescent="0.2">
      <c r="A248" s="207" t="s">
        <v>91</v>
      </c>
      <c r="B248" s="42" t="s">
        <v>95</v>
      </c>
      <c r="C248" s="45" t="s">
        <v>31</v>
      </c>
      <c r="D248" s="130">
        <v>184.85</v>
      </c>
      <c r="E248" s="131">
        <v>3.17</v>
      </c>
      <c r="F248" s="130">
        <f t="shared" ref="F248:F249" si="35">D248*E248*R248</f>
        <v>585.97449999999992</v>
      </c>
      <c r="G248" s="131">
        <f t="shared" si="34"/>
        <v>0</v>
      </c>
      <c r="H248" s="171">
        <v>0.25109999999999999</v>
      </c>
      <c r="I248" s="172">
        <f t="shared" si="14"/>
        <v>733.11</v>
      </c>
      <c r="J248" s="173">
        <f>I248/I272</f>
        <v>4.5813123226671684E-4</v>
      </c>
      <c r="N248" s="130">
        <v>585.97450000000003</v>
      </c>
      <c r="O248" s="130">
        <v>0</v>
      </c>
      <c r="Q248" s="18">
        <f t="shared" si="31"/>
        <v>585.97450000000003</v>
      </c>
      <c r="R248" s="276">
        <f t="shared" si="32"/>
        <v>1</v>
      </c>
      <c r="S248" s="276">
        <f t="shared" si="33"/>
        <v>0</v>
      </c>
    </row>
    <row r="249" spans="1:19" ht="15" thickBot="1" x14ac:dyDescent="0.25">
      <c r="A249" s="207" t="s">
        <v>280</v>
      </c>
      <c r="B249" s="42" t="s">
        <v>281</v>
      </c>
      <c r="C249" s="45" t="s">
        <v>21</v>
      </c>
      <c r="D249" s="130">
        <v>9.25</v>
      </c>
      <c r="E249" s="131">
        <v>18.329999999999998</v>
      </c>
      <c r="F249" s="130">
        <f t="shared" si="35"/>
        <v>169.55249999999998</v>
      </c>
      <c r="G249" s="131">
        <f>D249*E249*S249</f>
        <v>0</v>
      </c>
      <c r="H249" s="171">
        <v>0.25109999999999999</v>
      </c>
      <c r="I249" s="172">
        <f t="shared" si="14"/>
        <v>212.13</v>
      </c>
      <c r="J249" s="173">
        <f>I249/I272</f>
        <v>1.3256316009976489E-4</v>
      </c>
      <c r="N249" s="130">
        <v>169.55250000000001</v>
      </c>
      <c r="O249" s="130">
        <v>0</v>
      </c>
      <c r="Q249" s="18">
        <f t="shared" si="31"/>
        <v>169.55250000000001</v>
      </c>
      <c r="R249" s="276">
        <f t="shared" si="32"/>
        <v>1</v>
      </c>
      <c r="S249" s="276">
        <f t="shared" si="33"/>
        <v>0</v>
      </c>
    </row>
    <row r="250" spans="1:19" ht="15.75" thickBot="1" x14ac:dyDescent="0.3">
      <c r="A250" s="208" t="s">
        <v>453</v>
      </c>
      <c r="B250" s="133" t="s">
        <v>282</v>
      </c>
      <c r="C250" s="33"/>
      <c r="D250" s="134"/>
      <c r="E250" s="135"/>
      <c r="F250" s="134"/>
      <c r="G250" s="135"/>
      <c r="H250" s="209"/>
      <c r="I250" s="210">
        <f>SUM(I247:I249)</f>
        <v>1496.27</v>
      </c>
      <c r="J250" s="179">
        <f>I250/I272</f>
        <v>9.3504115194680253E-4</v>
      </c>
      <c r="L250" s="129">
        <f>F247+F248+F249</f>
        <v>1195.9650999999999</v>
      </c>
      <c r="M250" s="129"/>
      <c r="N250" s="282"/>
      <c r="O250" s="282"/>
      <c r="R250" s="276"/>
      <c r="S250" s="276"/>
    </row>
    <row r="251" spans="1:19" ht="28.5" x14ac:dyDescent="0.2">
      <c r="A251" s="207" t="s">
        <v>24</v>
      </c>
      <c r="B251" s="138" t="s">
        <v>96</v>
      </c>
      <c r="C251" s="45"/>
      <c r="D251" s="130"/>
      <c r="E251" s="131"/>
      <c r="F251" s="130"/>
      <c r="G251" s="131"/>
      <c r="H251" s="171"/>
      <c r="I251" s="172"/>
      <c r="J251" s="173"/>
      <c r="N251" s="130"/>
      <c r="O251" s="130"/>
      <c r="R251" s="276"/>
      <c r="S251" s="276"/>
    </row>
    <row r="252" spans="1:19" ht="15" thickBot="1" x14ac:dyDescent="0.25">
      <c r="A252" s="207" t="s">
        <v>283</v>
      </c>
      <c r="B252" s="42" t="s">
        <v>284</v>
      </c>
      <c r="C252" s="45" t="s">
        <v>21</v>
      </c>
      <c r="D252" s="130">
        <v>9.25</v>
      </c>
      <c r="E252" s="131">
        <v>60.28</v>
      </c>
      <c r="F252" s="130">
        <f>D252*E252*R252</f>
        <v>437.54350000000005</v>
      </c>
      <c r="G252" s="131">
        <f>D252*E252*S252</f>
        <v>120.04649999999999</v>
      </c>
      <c r="H252" s="171">
        <v>0.25109999999999999</v>
      </c>
      <c r="I252" s="172">
        <f t="shared" si="14"/>
        <v>697.6</v>
      </c>
      <c r="J252" s="173">
        <f>I252/I272</f>
        <v>4.3594051046809033E-4</v>
      </c>
      <c r="N252" s="130">
        <v>437.54349999999999</v>
      </c>
      <c r="O252" s="130">
        <v>120.04649999999999</v>
      </c>
      <c r="Q252" s="18">
        <f t="shared" si="31"/>
        <v>557.59</v>
      </c>
      <c r="R252" s="276">
        <f t="shared" si="32"/>
        <v>0.78470471134704711</v>
      </c>
      <c r="S252" s="276">
        <f t="shared" si="33"/>
        <v>0.21529528865295286</v>
      </c>
    </row>
    <row r="253" spans="1:19" ht="30.75" thickBot="1" x14ac:dyDescent="0.3">
      <c r="A253" s="208" t="s">
        <v>452</v>
      </c>
      <c r="B253" s="139" t="s">
        <v>285</v>
      </c>
      <c r="C253" s="33"/>
      <c r="D253" s="134"/>
      <c r="E253" s="135"/>
      <c r="F253" s="134"/>
      <c r="G253" s="135"/>
      <c r="H253" s="209"/>
      <c r="I253" s="210">
        <f>SUM(I252)</f>
        <v>697.6</v>
      </c>
      <c r="J253" s="179">
        <f>I253/I272</f>
        <v>4.3594051046809033E-4</v>
      </c>
      <c r="L253" s="129">
        <f>F252+G252</f>
        <v>557.59</v>
      </c>
      <c r="M253" s="129"/>
      <c r="N253" s="282"/>
      <c r="O253" s="282"/>
      <c r="R253" s="276"/>
      <c r="S253" s="276"/>
    </row>
    <row r="254" spans="1:19" ht="28.5" x14ac:dyDescent="0.2">
      <c r="A254" s="207" t="s">
        <v>25</v>
      </c>
      <c r="B254" s="138" t="s">
        <v>287</v>
      </c>
      <c r="C254" s="45"/>
      <c r="D254" s="130"/>
      <c r="E254" s="131"/>
      <c r="F254" s="130"/>
      <c r="G254" s="131"/>
      <c r="H254" s="171"/>
      <c r="I254" s="172"/>
      <c r="J254" s="173"/>
      <c r="N254" s="130"/>
      <c r="O254" s="130"/>
      <c r="R254" s="276"/>
      <c r="S254" s="276"/>
    </row>
    <row r="255" spans="1:19" ht="15" thickBot="1" x14ac:dyDescent="0.25">
      <c r="A255" s="207" t="s">
        <v>99</v>
      </c>
      <c r="B255" s="42" t="s">
        <v>92</v>
      </c>
      <c r="C255" s="45" t="s">
        <v>36</v>
      </c>
      <c r="D255" s="130">
        <v>2.08</v>
      </c>
      <c r="E255" s="131">
        <v>804.13</v>
      </c>
      <c r="F255" s="130">
        <f>D255*E255*R255</f>
        <v>1096.2390399999999</v>
      </c>
      <c r="G255" s="131">
        <f>D255*E255*S255</f>
        <v>576.35136</v>
      </c>
      <c r="H255" s="171">
        <v>0.25109999999999999</v>
      </c>
      <c r="I255" s="172">
        <f t="shared" si="14"/>
        <v>2092.58</v>
      </c>
      <c r="J255" s="173">
        <f>I255/I272</f>
        <v>1.3076840501653043E-3</v>
      </c>
      <c r="N255" s="130">
        <v>1096.2390399999999</v>
      </c>
      <c r="O255" s="130">
        <v>576.35136</v>
      </c>
      <c r="Q255" s="18">
        <f t="shared" si="31"/>
        <v>1672.5904</v>
      </c>
      <c r="R255" s="276">
        <f t="shared" si="32"/>
        <v>0.65541392560904321</v>
      </c>
      <c r="S255" s="276">
        <f t="shared" si="33"/>
        <v>0.34458607439095668</v>
      </c>
    </row>
    <row r="256" spans="1:19" ht="30.75" thickBot="1" x14ac:dyDescent="0.3">
      <c r="A256" s="208" t="s">
        <v>451</v>
      </c>
      <c r="B256" s="139" t="s">
        <v>288</v>
      </c>
      <c r="C256" s="33"/>
      <c r="D256" s="134"/>
      <c r="E256" s="135"/>
      <c r="F256" s="134"/>
      <c r="G256" s="135"/>
      <c r="H256" s="209"/>
      <c r="I256" s="210">
        <f>SUM(I255)</f>
        <v>2092.58</v>
      </c>
      <c r="J256" s="179">
        <f>I256/I272</f>
        <v>1.3076840501653043E-3</v>
      </c>
      <c r="L256" s="129">
        <f>F255+G255</f>
        <v>1672.5904</v>
      </c>
      <c r="M256" s="129"/>
      <c r="N256" s="282"/>
      <c r="O256" s="282"/>
      <c r="R256" s="276"/>
      <c r="S256" s="276"/>
    </row>
    <row r="257" spans="1:19" ht="15.75" thickBot="1" x14ac:dyDescent="0.3">
      <c r="A257" s="212" t="s">
        <v>450</v>
      </c>
      <c r="B257" s="31" t="s">
        <v>289</v>
      </c>
      <c r="C257" s="24"/>
      <c r="D257" s="136"/>
      <c r="E257" s="137"/>
      <c r="F257" s="136"/>
      <c r="G257" s="137"/>
      <c r="H257" s="213"/>
      <c r="I257" s="214">
        <f>I250+I253+I256</f>
        <v>4286.45</v>
      </c>
      <c r="J257" s="215">
        <f>I257/I272</f>
        <v>2.6786657125801973E-3</v>
      </c>
      <c r="L257" s="140">
        <f>L250+L253+L256</f>
        <v>3426.1455000000001</v>
      </c>
      <c r="M257" s="277"/>
      <c r="N257" s="283"/>
      <c r="O257" s="283"/>
      <c r="R257" s="276"/>
      <c r="S257" s="276"/>
    </row>
    <row r="258" spans="1:19" ht="15.75" thickBot="1" x14ac:dyDescent="0.3">
      <c r="A258" s="220"/>
      <c r="B258" s="142" t="s">
        <v>118</v>
      </c>
      <c r="C258" s="148"/>
      <c r="D258" s="149"/>
      <c r="E258" s="150"/>
      <c r="F258" s="149"/>
      <c r="G258" s="150"/>
      <c r="H258" s="221"/>
      <c r="I258" s="218">
        <f>I236+I244+I257</f>
        <v>45404.59</v>
      </c>
      <c r="J258" s="219">
        <f>I258/I272</f>
        <v>2.8373996763466667E-2</v>
      </c>
      <c r="L258" s="147">
        <f>L236+L244+L257</f>
        <v>36291.730199999998</v>
      </c>
      <c r="M258" s="280"/>
      <c r="N258" s="285"/>
      <c r="O258" s="285"/>
      <c r="R258" s="276"/>
      <c r="S258" s="276"/>
    </row>
    <row r="259" spans="1:19" ht="15.75" thickBot="1" x14ac:dyDescent="0.3">
      <c r="A259" s="212" t="s">
        <v>446</v>
      </c>
      <c r="B259" s="31" t="s">
        <v>339</v>
      </c>
      <c r="C259" s="24"/>
      <c r="D259" s="136"/>
      <c r="E259" s="137"/>
      <c r="F259" s="136"/>
      <c r="G259" s="137"/>
      <c r="H259" s="213"/>
      <c r="I259" s="214"/>
      <c r="J259" s="215"/>
      <c r="N259" s="283"/>
      <c r="O259" s="283"/>
      <c r="R259" s="276"/>
      <c r="S259" s="276"/>
    </row>
    <row r="260" spans="1:19" x14ac:dyDescent="0.2">
      <c r="A260" s="207" t="s">
        <v>107</v>
      </c>
      <c r="B260" s="42" t="s">
        <v>108</v>
      </c>
      <c r="C260" s="45"/>
      <c r="D260" s="130"/>
      <c r="E260" s="131"/>
      <c r="F260" s="130"/>
      <c r="G260" s="131"/>
      <c r="H260" s="171"/>
      <c r="I260" s="172"/>
      <c r="J260" s="173"/>
      <c r="N260" s="130"/>
      <c r="O260" s="130"/>
      <c r="R260" s="276"/>
      <c r="S260" s="276"/>
    </row>
    <row r="261" spans="1:19" x14ac:dyDescent="0.2">
      <c r="A261" s="207" t="s">
        <v>22</v>
      </c>
      <c r="B261" s="42" t="s">
        <v>108</v>
      </c>
      <c r="C261" s="45"/>
      <c r="D261" s="130"/>
      <c r="E261" s="131"/>
      <c r="F261" s="130"/>
      <c r="G261" s="131"/>
      <c r="H261" s="171"/>
      <c r="I261" s="172"/>
      <c r="J261" s="173"/>
      <c r="N261" s="130"/>
      <c r="O261" s="130"/>
      <c r="R261" s="276"/>
      <c r="S261" s="276"/>
    </row>
    <row r="262" spans="1:19" ht="28.5" x14ac:dyDescent="0.2">
      <c r="A262" s="207" t="s">
        <v>317</v>
      </c>
      <c r="B262" s="138" t="s">
        <v>340</v>
      </c>
      <c r="C262" s="45" t="s">
        <v>109</v>
      </c>
      <c r="D262" s="170">
        <v>392</v>
      </c>
      <c r="E262" s="131">
        <v>51.1</v>
      </c>
      <c r="F262" s="130">
        <f>D262*E262*R262</f>
        <v>0</v>
      </c>
      <c r="G262" s="131">
        <f t="shared" ref="G262:G264" si="36">D262*E262*S262</f>
        <v>20031.2</v>
      </c>
      <c r="H262" s="171">
        <v>0.25109999999999999</v>
      </c>
      <c r="I262" s="172">
        <f t="shared" si="14"/>
        <v>25061.03</v>
      </c>
      <c r="J262" s="173">
        <f>I262/I272</f>
        <v>1.5661006609885498E-2</v>
      </c>
      <c r="N262" s="130">
        <v>0</v>
      </c>
      <c r="O262" s="130">
        <v>18498.2</v>
      </c>
      <c r="Q262" s="18">
        <f t="shared" si="31"/>
        <v>18498.2</v>
      </c>
      <c r="R262" s="276">
        <f t="shared" si="32"/>
        <v>0</v>
      </c>
      <c r="S262" s="276">
        <f t="shared" si="33"/>
        <v>1</v>
      </c>
    </row>
    <row r="263" spans="1:19" ht="28.5" x14ac:dyDescent="0.2">
      <c r="A263" s="207" t="s">
        <v>319</v>
      </c>
      <c r="B263" s="138" t="s">
        <v>341</v>
      </c>
      <c r="C263" s="45" t="s">
        <v>323</v>
      </c>
      <c r="D263" s="170">
        <v>392</v>
      </c>
      <c r="E263" s="131">
        <v>20</v>
      </c>
      <c r="F263" s="130">
        <f t="shared" ref="F263:F265" si="37">D263*E263*R263</f>
        <v>0</v>
      </c>
      <c r="G263" s="131">
        <f t="shared" si="36"/>
        <v>7840</v>
      </c>
      <c r="H263" s="171">
        <v>0.25109999999999999</v>
      </c>
      <c r="I263" s="172">
        <f t="shared" si="14"/>
        <v>9808.6200000000008</v>
      </c>
      <c r="J263" s="173">
        <f>I263/I272</f>
        <v>6.1295510461403671E-3</v>
      </c>
      <c r="N263" s="130">
        <v>0</v>
      </c>
      <c r="O263" s="130">
        <v>7240</v>
      </c>
      <c r="Q263" s="18">
        <f t="shared" si="31"/>
        <v>7240</v>
      </c>
      <c r="R263" s="276">
        <f t="shared" si="32"/>
        <v>0</v>
      </c>
      <c r="S263" s="276">
        <f t="shared" si="33"/>
        <v>1</v>
      </c>
    </row>
    <row r="264" spans="1:19" ht="42.75" x14ac:dyDescent="0.2">
      <c r="A264" s="207" t="s">
        <v>321</v>
      </c>
      <c r="B264" s="138" t="s">
        <v>342</v>
      </c>
      <c r="C264" s="45" t="s">
        <v>31</v>
      </c>
      <c r="D264" s="170">
        <v>809.9</v>
      </c>
      <c r="E264" s="131">
        <v>21.21</v>
      </c>
      <c r="F264" s="130">
        <f t="shared" si="37"/>
        <v>0</v>
      </c>
      <c r="G264" s="131">
        <f t="shared" si="36"/>
        <v>17177.978999999999</v>
      </c>
      <c r="H264" s="171">
        <v>0.25109999999999999</v>
      </c>
      <c r="I264" s="172">
        <f t="shared" si="14"/>
        <v>21491.37</v>
      </c>
      <c r="J264" s="173">
        <f>I264/I272</f>
        <v>1.34302735212996E-2</v>
      </c>
      <c r="N264" s="130">
        <v>0</v>
      </c>
      <c r="O264" s="130">
        <v>16891.64</v>
      </c>
      <c r="Q264" s="18">
        <f t="shared" si="31"/>
        <v>16891.64</v>
      </c>
      <c r="R264" s="276">
        <f t="shared" si="32"/>
        <v>0</v>
      </c>
      <c r="S264" s="276">
        <f t="shared" si="33"/>
        <v>1</v>
      </c>
    </row>
    <row r="265" spans="1:19" ht="29.25" thickBot="1" x14ac:dyDescent="0.25">
      <c r="A265" s="207" t="s">
        <v>324</v>
      </c>
      <c r="B265" s="138" t="s">
        <v>343</v>
      </c>
      <c r="C265" s="45" t="s">
        <v>109</v>
      </c>
      <c r="D265" s="170">
        <v>392</v>
      </c>
      <c r="E265" s="131">
        <v>11.77</v>
      </c>
      <c r="F265" s="130">
        <f t="shared" si="37"/>
        <v>0</v>
      </c>
      <c r="G265" s="131">
        <f>D265*E265*S265</f>
        <v>4613.84</v>
      </c>
      <c r="H265" s="171">
        <v>0.25109999999999999</v>
      </c>
      <c r="I265" s="172">
        <f t="shared" si="14"/>
        <v>5772.38</v>
      </c>
      <c r="J265" s="173">
        <f>I265/I272</f>
        <v>3.6072452462955779E-3</v>
      </c>
      <c r="N265" s="130">
        <v>0</v>
      </c>
      <c r="O265" s="130">
        <v>4260.74</v>
      </c>
      <c r="Q265" s="18">
        <f t="shared" si="31"/>
        <v>4260.74</v>
      </c>
      <c r="R265" s="276">
        <f t="shared" si="32"/>
        <v>0</v>
      </c>
      <c r="S265" s="276">
        <f t="shared" si="33"/>
        <v>1</v>
      </c>
    </row>
    <row r="266" spans="1:19" ht="15.75" thickBot="1" x14ac:dyDescent="0.3">
      <c r="A266" s="208" t="s">
        <v>447</v>
      </c>
      <c r="B266" s="133" t="s">
        <v>332</v>
      </c>
      <c r="C266" s="33"/>
      <c r="D266" s="134"/>
      <c r="E266" s="135"/>
      <c r="F266" s="134"/>
      <c r="G266" s="135"/>
      <c r="H266" s="209"/>
      <c r="I266" s="210">
        <f>SUM(I262:I265)</f>
        <v>62133.4</v>
      </c>
      <c r="J266" s="179">
        <f>I266/I272</f>
        <v>3.8828076423621044E-2</v>
      </c>
      <c r="L266" s="129">
        <f>SUM(F262:G265)</f>
        <v>49663.019</v>
      </c>
      <c r="M266" s="129"/>
      <c r="N266" s="282"/>
      <c r="O266" s="282"/>
      <c r="R266" s="276"/>
      <c r="S266" s="276"/>
    </row>
    <row r="267" spans="1:19" x14ac:dyDescent="0.2">
      <c r="A267" s="207" t="s">
        <v>47</v>
      </c>
      <c r="B267" s="42" t="s">
        <v>108</v>
      </c>
      <c r="C267" s="45"/>
      <c r="D267" s="130"/>
      <c r="E267" s="131"/>
      <c r="F267" s="130"/>
      <c r="G267" s="131"/>
      <c r="H267" s="171"/>
      <c r="I267" s="172"/>
      <c r="J267" s="173"/>
      <c r="N267" s="130"/>
      <c r="O267" s="130"/>
      <c r="R267" s="276"/>
      <c r="S267" s="276"/>
    </row>
    <row r="268" spans="1:19" ht="15" thickBot="1" x14ac:dyDescent="0.25">
      <c r="A268" s="207" t="s">
        <v>344</v>
      </c>
      <c r="B268" s="42" t="s">
        <v>345</v>
      </c>
      <c r="C268" s="45" t="s">
        <v>109</v>
      </c>
      <c r="D268" s="170">
        <v>392</v>
      </c>
      <c r="E268" s="131">
        <v>57.89</v>
      </c>
      <c r="F268" s="130">
        <f>D268*E268*R268</f>
        <v>0</v>
      </c>
      <c r="G268" s="131">
        <f>D268*E268*S268</f>
        <v>22692.880000000001</v>
      </c>
      <c r="H268" s="171">
        <v>0.25109999999999999</v>
      </c>
      <c r="I268" s="172">
        <f t="shared" si="14"/>
        <v>28391.06</v>
      </c>
      <c r="J268" s="173">
        <f>I268/I272</f>
        <v>1.774199138350083E-2</v>
      </c>
      <c r="N268" s="130">
        <v>0</v>
      </c>
      <c r="O268" s="130">
        <v>20956.18</v>
      </c>
      <c r="Q268" s="18">
        <f t="shared" si="31"/>
        <v>20956.18</v>
      </c>
      <c r="R268" s="276">
        <f t="shared" si="32"/>
        <v>0</v>
      </c>
      <c r="S268" s="276">
        <f t="shared" si="33"/>
        <v>1</v>
      </c>
    </row>
    <row r="269" spans="1:19" ht="15.75" thickBot="1" x14ac:dyDescent="0.3">
      <c r="A269" s="208" t="s">
        <v>448</v>
      </c>
      <c r="B269" s="133" t="s">
        <v>346</v>
      </c>
      <c r="C269" s="33"/>
      <c r="D269" s="134"/>
      <c r="E269" s="135"/>
      <c r="F269" s="134"/>
      <c r="G269" s="135"/>
      <c r="H269" s="209"/>
      <c r="I269" s="210">
        <f>SUM(I268)</f>
        <v>28391.06</v>
      </c>
      <c r="J269" s="179">
        <f>I269/I272</f>
        <v>1.774199138350083E-2</v>
      </c>
      <c r="L269" s="129">
        <f>G268</f>
        <v>22692.880000000001</v>
      </c>
      <c r="M269" s="129"/>
      <c r="N269" s="129"/>
      <c r="O269" s="129"/>
    </row>
    <row r="270" spans="1:19" ht="15.75" thickBot="1" x14ac:dyDescent="0.3">
      <c r="A270" s="212" t="s">
        <v>449</v>
      </c>
      <c r="B270" s="31" t="s">
        <v>335</v>
      </c>
      <c r="C270" s="24"/>
      <c r="D270" s="136"/>
      <c r="E270" s="137"/>
      <c r="F270" s="136"/>
      <c r="G270" s="137"/>
      <c r="H270" s="213"/>
      <c r="I270" s="214">
        <f>I266+I269</f>
        <v>90524.46</v>
      </c>
      <c r="J270" s="215">
        <f>I270/I272</f>
        <v>5.6570067807121878E-2</v>
      </c>
      <c r="L270" s="140">
        <f>L266+L269</f>
        <v>72355.899000000005</v>
      </c>
      <c r="M270" s="277"/>
      <c r="N270" s="277"/>
      <c r="O270" s="277"/>
    </row>
    <row r="271" spans="1:19" ht="15.75" thickBot="1" x14ac:dyDescent="0.3">
      <c r="A271" s="153"/>
      <c r="B271" s="142" t="s">
        <v>118</v>
      </c>
      <c r="C271" s="148"/>
      <c r="D271" s="154"/>
      <c r="E271" s="143"/>
      <c r="F271" s="155"/>
      <c r="G271" s="156"/>
      <c r="H271" s="157"/>
      <c r="I271" s="158">
        <f>I270</f>
        <v>90524.46</v>
      </c>
      <c r="J271" s="219">
        <f>I271/I272</f>
        <v>5.6570067807121878E-2</v>
      </c>
      <c r="L271" s="147">
        <f>L270</f>
        <v>72355.899000000005</v>
      </c>
      <c r="M271" s="280"/>
      <c r="N271" s="280"/>
      <c r="O271" s="280"/>
    </row>
    <row r="272" spans="1:19" ht="15.75" thickBot="1" x14ac:dyDescent="0.25">
      <c r="F272" s="365" t="s">
        <v>3</v>
      </c>
      <c r="G272" s="366"/>
      <c r="H272" s="50"/>
      <c r="I272" s="51">
        <f>I33+I201+I217+I258+I271</f>
        <v>1600218.3399999999</v>
      </c>
      <c r="J272" s="52">
        <f>J33+J201+J217+J258+J271</f>
        <v>1</v>
      </c>
      <c r="L272" s="129">
        <f>L201+L217+L258+L271</f>
        <v>1174603.8894626512</v>
      </c>
      <c r="M272" s="129"/>
      <c r="N272" s="129"/>
      <c r="O272" s="129"/>
      <c r="Q272" s="129">
        <f>SUM(Q37:Q271)</f>
        <v>1121730.2607800004</v>
      </c>
    </row>
    <row r="273" spans="1:10" ht="15" x14ac:dyDescent="0.2">
      <c r="F273" s="28"/>
      <c r="G273" s="28"/>
      <c r="H273" s="28"/>
      <c r="I273" s="28"/>
      <c r="J273" s="29"/>
    </row>
    <row r="274" spans="1:10" ht="15" x14ac:dyDescent="0.2">
      <c r="F274" s="28"/>
      <c r="G274" s="28"/>
      <c r="H274" s="28"/>
      <c r="I274" s="28"/>
      <c r="J274" s="29"/>
    </row>
    <row r="275" spans="1:10" ht="15" x14ac:dyDescent="0.2">
      <c r="B275" s="27" t="s">
        <v>5</v>
      </c>
      <c r="F275" s="27" t="s">
        <v>5</v>
      </c>
      <c r="G275" s="28"/>
      <c r="H275" s="28"/>
      <c r="I275" s="28"/>
      <c r="J275" s="29"/>
    </row>
    <row r="276" spans="1:10" ht="15" x14ac:dyDescent="0.2">
      <c r="B276" s="27" t="s">
        <v>347</v>
      </c>
      <c r="F276" s="27" t="s">
        <v>11</v>
      </c>
      <c r="G276" s="28"/>
      <c r="H276" s="28"/>
      <c r="I276" s="28"/>
      <c r="J276" s="29"/>
    </row>
    <row r="277" spans="1:10" ht="15" x14ac:dyDescent="0.2">
      <c r="B277" s="27" t="s">
        <v>10</v>
      </c>
      <c r="F277" s="27" t="s">
        <v>12</v>
      </c>
      <c r="G277" s="28"/>
      <c r="H277" s="28"/>
      <c r="I277" s="28"/>
      <c r="J277" s="29"/>
    </row>
    <row r="278" spans="1:10" x14ac:dyDescent="0.2">
      <c r="F278" s="27" t="s">
        <v>13</v>
      </c>
    </row>
    <row r="279" spans="1:10" ht="15" x14ac:dyDescent="0.2">
      <c r="A279" s="367"/>
      <c r="B279" s="367"/>
      <c r="C279" s="367"/>
      <c r="D279" s="367"/>
      <c r="E279" s="367"/>
      <c r="F279" s="367"/>
      <c r="G279" s="367"/>
      <c r="H279" s="367"/>
      <c r="I279" s="367"/>
      <c r="J279" s="367"/>
    </row>
  </sheetData>
  <mergeCells count="6">
    <mergeCell ref="A1:J1"/>
    <mergeCell ref="A5:J5"/>
    <mergeCell ref="F272:G272"/>
    <mergeCell ref="A279:J279"/>
    <mergeCell ref="A3:J3"/>
    <mergeCell ref="A2:J2"/>
  </mergeCells>
  <phoneticPr fontId="14" type="noConversion"/>
  <pageMargins left="0.25" right="0.25" top="0.75" bottom="0.75" header="0.3" footer="0.3"/>
  <pageSetup paperSize="9" scale="80" fitToHeight="0" orientation="landscape" verticalDpi="4294967293" r:id="rId1"/>
  <drawing r:id="rId2"/>
  <legacyDrawing r:id="rId3"/>
  <oleObjects>
    <mc:AlternateContent xmlns:mc="http://schemas.openxmlformats.org/markup-compatibility/2006">
      <mc:Choice Requires="x14">
        <oleObject progId="CorelDraw.Graphic.9" shapeId="2050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19050</xdr:rowOff>
              </from>
              <to>
                <xdr:col>1</xdr:col>
                <xdr:colOff>85725</xdr:colOff>
                <xdr:row>5</xdr:row>
                <xdr:rowOff>180975</xdr:rowOff>
              </to>
            </anchor>
          </objectPr>
        </oleObject>
      </mc:Choice>
      <mc:Fallback>
        <oleObject progId="CorelDraw.Graphic.9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B0F-A03A-47F4-969C-770E2723110B}">
  <dimension ref="A1:U89"/>
  <sheetViews>
    <sheetView workbookViewId="0">
      <selection activeCell="O14" sqref="O14"/>
    </sheetView>
  </sheetViews>
  <sheetFormatPr defaultRowHeight="15" x14ac:dyDescent="0.25"/>
  <cols>
    <col min="1" max="1" width="11.7109375" customWidth="1"/>
    <col min="2" max="2" width="13.42578125" customWidth="1"/>
    <col min="3" max="3" width="13.28515625" bestFit="1" customWidth="1"/>
    <col min="6" max="6" width="12.42578125" customWidth="1"/>
    <col min="8" max="8" width="9.140625" customWidth="1"/>
    <col min="10" max="10" width="9.140625" customWidth="1"/>
    <col min="11" max="11" width="9.5703125" customWidth="1"/>
    <col min="15" max="15" width="10.42578125" customWidth="1"/>
  </cols>
  <sheetData>
    <row r="1" spans="1:21" ht="15.75" thickBot="1" x14ac:dyDescent="0.3"/>
    <row r="2" spans="1:21" ht="15.75" thickBot="1" x14ac:dyDescent="0.3">
      <c r="A2" s="246" t="s">
        <v>412</v>
      </c>
      <c r="B2" s="247">
        <v>0.15</v>
      </c>
    </row>
    <row r="3" spans="1:21" ht="15.75" thickBot="1" x14ac:dyDescent="0.3">
      <c r="K3" s="377" t="s">
        <v>436</v>
      </c>
      <c r="L3" s="378"/>
      <c r="N3" s="379" t="s">
        <v>438</v>
      </c>
      <c r="O3" s="380"/>
      <c r="R3" s="374" t="s">
        <v>545</v>
      </c>
      <c r="S3" s="374"/>
      <c r="T3" s="374"/>
      <c r="U3" s="358" t="s">
        <v>546</v>
      </c>
    </row>
    <row r="4" spans="1:21" ht="30.75" thickBot="1" x14ac:dyDescent="0.3">
      <c r="A4" s="229" t="s">
        <v>348</v>
      </c>
      <c r="B4" s="229" t="s">
        <v>358</v>
      </c>
      <c r="C4" s="229" t="s">
        <v>360</v>
      </c>
      <c r="D4" s="230" t="s">
        <v>359</v>
      </c>
      <c r="E4" s="229" t="s">
        <v>372</v>
      </c>
      <c r="F4" s="229" t="s">
        <v>373</v>
      </c>
      <c r="G4" s="242" t="s">
        <v>410</v>
      </c>
      <c r="H4" s="381" t="s">
        <v>411</v>
      </c>
      <c r="I4" s="382"/>
      <c r="J4" s="249"/>
      <c r="K4" s="239" t="s">
        <v>57</v>
      </c>
      <c r="L4" s="274" t="s">
        <v>58</v>
      </c>
      <c r="N4" s="288" t="s">
        <v>439</v>
      </c>
      <c r="O4" s="289" t="s">
        <v>440</v>
      </c>
    </row>
    <row r="5" spans="1:21" x14ac:dyDescent="0.25">
      <c r="A5" s="226" t="s">
        <v>349</v>
      </c>
      <c r="B5" s="227">
        <v>81.501000000000005</v>
      </c>
      <c r="C5" s="227">
        <f>(B26+B29)/2</f>
        <v>1.05</v>
      </c>
      <c r="D5" s="227">
        <f>B2+K32</f>
        <v>0.5</v>
      </c>
      <c r="E5" s="227">
        <f>C5*D5*F5</f>
        <v>40.750500000000002</v>
      </c>
      <c r="F5" s="237">
        <v>77.62</v>
      </c>
      <c r="G5" s="226"/>
      <c r="H5" s="226" t="s">
        <v>275</v>
      </c>
      <c r="I5" s="227">
        <f>D5*F5*0.1</f>
        <v>3.8810000000000002</v>
      </c>
      <c r="J5" s="248"/>
      <c r="K5" s="227">
        <f>F5*D5*0.3</f>
        <v>11.643000000000001</v>
      </c>
      <c r="L5" s="227">
        <f>F5*D5*(C5-0.3)</f>
        <v>29.107500000000002</v>
      </c>
      <c r="N5" s="227"/>
      <c r="O5" s="227"/>
    </row>
    <row r="6" spans="1:21" x14ac:dyDescent="0.25">
      <c r="A6" s="222" t="s">
        <v>350</v>
      </c>
      <c r="B6" s="223">
        <v>89.256</v>
      </c>
      <c r="C6" s="223">
        <f>(B26+B27)/2</f>
        <v>1.2</v>
      </c>
      <c r="D6" s="223">
        <f>B2+K32</f>
        <v>0.5</v>
      </c>
      <c r="E6" s="227">
        <f t="shared" ref="E6:E13" si="0">C6*D6*F6</f>
        <v>44.627999999999993</v>
      </c>
      <c r="F6" s="238">
        <v>74.38</v>
      </c>
      <c r="G6" s="222"/>
      <c r="H6" s="222" t="s">
        <v>275</v>
      </c>
      <c r="I6" s="223">
        <f t="shared" ref="I6:I13" si="1">D6*F6*0.1</f>
        <v>3.7189999999999999</v>
      </c>
      <c r="J6" s="248"/>
      <c r="K6" s="227">
        <f t="shared" ref="K6:K13" si="2">F6*D6*0.3</f>
        <v>11.156999999999998</v>
      </c>
      <c r="L6" s="227">
        <f t="shared" ref="L6:L13" si="3">F6*D6*(C6-0.3)</f>
        <v>33.470999999999997</v>
      </c>
      <c r="N6" s="223"/>
      <c r="O6" s="223"/>
    </row>
    <row r="7" spans="1:21" x14ac:dyDescent="0.25">
      <c r="A7" s="222" t="s">
        <v>351</v>
      </c>
      <c r="B7" s="223">
        <v>61.2</v>
      </c>
      <c r="C7" s="223">
        <f>(B27+B28)/2</f>
        <v>1.2</v>
      </c>
      <c r="D7" s="223">
        <f>B2+K32</f>
        <v>0.5</v>
      </c>
      <c r="E7" s="227">
        <f t="shared" si="0"/>
        <v>30.599999999999998</v>
      </c>
      <c r="F7" s="238">
        <v>51</v>
      </c>
      <c r="G7" s="222">
        <v>1</v>
      </c>
      <c r="H7" s="222" t="s">
        <v>275</v>
      </c>
      <c r="I7" s="223">
        <f t="shared" si="1"/>
        <v>2.5500000000000003</v>
      </c>
      <c r="J7" s="248"/>
      <c r="K7" s="227">
        <f t="shared" si="2"/>
        <v>7.6499999999999995</v>
      </c>
      <c r="L7" s="227">
        <f t="shared" si="3"/>
        <v>22.95</v>
      </c>
      <c r="N7" s="223"/>
      <c r="O7" s="223"/>
    </row>
    <row r="8" spans="1:21" x14ac:dyDescent="0.25">
      <c r="A8" s="222" t="s">
        <v>352</v>
      </c>
      <c r="B8" s="223">
        <v>51.527999999999999</v>
      </c>
      <c r="C8" s="223">
        <f>(B26+B24)/2</f>
        <v>1.2</v>
      </c>
      <c r="D8" s="223">
        <f>B2+K32</f>
        <v>0.5</v>
      </c>
      <c r="E8" s="227">
        <f t="shared" si="0"/>
        <v>25.763999999999999</v>
      </c>
      <c r="F8" s="238">
        <v>42.94</v>
      </c>
      <c r="G8" s="222"/>
      <c r="H8" s="222" t="s">
        <v>275</v>
      </c>
      <c r="I8" s="223">
        <f t="shared" si="1"/>
        <v>2.1469999999999998</v>
      </c>
      <c r="J8" s="248"/>
      <c r="K8" s="227">
        <f t="shared" si="2"/>
        <v>6.4409999999999998</v>
      </c>
      <c r="L8" s="227">
        <f t="shared" si="3"/>
        <v>19.322999999999997</v>
      </c>
      <c r="N8" s="223"/>
      <c r="O8" s="223"/>
    </row>
    <row r="9" spans="1:21" x14ac:dyDescent="0.25">
      <c r="A9" s="222" t="s">
        <v>353</v>
      </c>
      <c r="B9" s="223">
        <v>12.24</v>
      </c>
      <c r="C9" s="223">
        <f>(B24+B25)/2</f>
        <v>1.2</v>
      </c>
      <c r="D9" s="223">
        <f>B2+K32</f>
        <v>0.5</v>
      </c>
      <c r="E9" s="227">
        <f t="shared" si="0"/>
        <v>6.1199999999999992</v>
      </c>
      <c r="F9" s="238">
        <v>10.199999999999999</v>
      </c>
      <c r="G9" s="222">
        <v>1</v>
      </c>
      <c r="H9" s="222" t="s">
        <v>275</v>
      </c>
      <c r="I9" s="223">
        <f t="shared" si="1"/>
        <v>0.51</v>
      </c>
      <c r="J9" s="248"/>
      <c r="K9" s="227">
        <f t="shared" si="2"/>
        <v>1.5299999999999998</v>
      </c>
      <c r="L9" s="227">
        <f t="shared" si="3"/>
        <v>4.589999999999999</v>
      </c>
      <c r="N9" s="223"/>
      <c r="O9" s="223"/>
    </row>
    <row r="10" spans="1:21" x14ac:dyDescent="0.25">
      <c r="A10" s="222" t="s">
        <v>354</v>
      </c>
      <c r="B10" s="223">
        <v>45.087000000000003</v>
      </c>
      <c r="C10" s="223">
        <f>(B24+B23)/2</f>
        <v>1.05</v>
      </c>
      <c r="D10" s="223">
        <f>B2+K32</f>
        <v>0.5</v>
      </c>
      <c r="E10" s="227">
        <f t="shared" si="0"/>
        <v>45.491250000000008</v>
      </c>
      <c r="F10" s="238">
        <v>86.65</v>
      </c>
      <c r="G10" s="222"/>
      <c r="H10" s="222" t="s">
        <v>275</v>
      </c>
      <c r="I10" s="223">
        <f t="shared" si="1"/>
        <v>4.3325000000000005</v>
      </c>
      <c r="J10" s="248"/>
      <c r="K10" s="227">
        <f t="shared" si="2"/>
        <v>12.9975</v>
      </c>
      <c r="L10" s="227">
        <f t="shared" si="3"/>
        <v>32.493750000000006</v>
      </c>
      <c r="N10" s="223"/>
      <c r="O10" s="223"/>
    </row>
    <row r="11" spans="1:21" x14ac:dyDescent="0.25">
      <c r="A11" s="222" t="s">
        <v>355</v>
      </c>
      <c r="B11" s="223">
        <v>82.896000000000001</v>
      </c>
      <c r="C11" s="223">
        <f>(B23+B20)/2</f>
        <v>1.1000000000000001</v>
      </c>
      <c r="D11" s="223">
        <f>B2+K32</f>
        <v>0.5</v>
      </c>
      <c r="E11" s="227">
        <f t="shared" si="0"/>
        <v>41.448</v>
      </c>
      <c r="F11" s="238">
        <v>75.36</v>
      </c>
      <c r="G11" s="222"/>
      <c r="H11" s="222" t="s">
        <v>275</v>
      </c>
      <c r="I11" s="223">
        <f t="shared" si="1"/>
        <v>3.7680000000000002</v>
      </c>
      <c r="J11" s="248"/>
      <c r="K11" s="227">
        <f t="shared" si="2"/>
        <v>11.304</v>
      </c>
      <c r="L11" s="227">
        <f t="shared" si="3"/>
        <v>30.144000000000002</v>
      </c>
      <c r="N11" s="223"/>
      <c r="O11" s="223"/>
    </row>
    <row r="12" spans="1:21" x14ac:dyDescent="0.25">
      <c r="A12" s="222" t="s">
        <v>356</v>
      </c>
      <c r="B12" s="223">
        <v>13.101000000000001</v>
      </c>
      <c r="C12" s="223">
        <f>(B20+B22)/2</f>
        <v>1.1000000000000001</v>
      </c>
      <c r="D12" s="223">
        <f>B2+K32</f>
        <v>0.5</v>
      </c>
      <c r="E12" s="227">
        <f t="shared" si="0"/>
        <v>6.5505000000000004</v>
      </c>
      <c r="F12" s="238">
        <v>11.91</v>
      </c>
      <c r="G12" s="222">
        <v>1</v>
      </c>
      <c r="H12" s="222" t="s">
        <v>275</v>
      </c>
      <c r="I12" s="223">
        <f t="shared" si="1"/>
        <v>0.59550000000000003</v>
      </c>
      <c r="J12" s="248"/>
      <c r="K12" s="227">
        <f t="shared" si="2"/>
        <v>1.7865</v>
      </c>
      <c r="L12" s="227">
        <f t="shared" si="3"/>
        <v>4.7640000000000002</v>
      </c>
      <c r="N12" s="223"/>
      <c r="O12" s="223"/>
    </row>
    <row r="13" spans="1:21" ht="15.75" thickBot="1" x14ac:dyDescent="0.3">
      <c r="A13" s="222" t="s">
        <v>357</v>
      </c>
      <c r="B13" s="223">
        <v>24.414000000000001</v>
      </c>
      <c r="C13" s="223">
        <f>(B20+B21)/2</f>
        <v>1.3</v>
      </c>
      <c r="D13" s="225">
        <f>B2+K32+0.1</f>
        <v>0.6</v>
      </c>
      <c r="E13" s="227">
        <f t="shared" si="0"/>
        <v>14.648400000000001</v>
      </c>
      <c r="F13" s="240">
        <v>18.78</v>
      </c>
      <c r="G13" s="243">
        <v>1</v>
      </c>
      <c r="H13" s="222" t="s">
        <v>275</v>
      </c>
      <c r="I13" s="225">
        <f t="shared" si="1"/>
        <v>1.1268</v>
      </c>
      <c r="J13" s="248"/>
      <c r="K13" s="227">
        <f t="shared" si="2"/>
        <v>3.3804000000000003</v>
      </c>
      <c r="L13" s="227">
        <f t="shared" si="3"/>
        <v>11.268000000000001</v>
      </c>
      <c r="N13" s="225">
        <f>F13*C13*2</f>
        <v>48.828000000000003</v>
      </c>
      <c r="O13" s="225"/>
    </row>
    <row r="14" spans="1:21" ht="15.75" thickBot="1" x14ac:dyDescent="0.3">
      <c r="B14" s="224"/>
      <c r="C14" s="224"/>
      <c r="D14" s="235" t="s">
        <v>132</v>
      </c>
      <c r="E14" s="228">
        <f>SUM(E5:E13)</f>
        <v>256.00065000000001</v>
      </c>
      <c r="F14" s="241">
        <f>SUM(F5:F13)</f>
        <v>448.84000000000003</v>
      </c>
      <c r="G14" s="239">
        <f>SUM(G5:G13)</f>
        <v>4</v>
      </c>
      <c r="I14" s="235">
        <f>SUM(I5:I13)</f>
        <v>22.629800000000003</v>
      </c>
      <c r="K14" s="235">
        <f>SUM(K5:K13)</f>
        <v>67.889399999999995</v>
      </c>
      <c r="L14" s="275">
        <f>SUM(L5:L13)</f>
        <v>188.11125000000001</v>
      </c>
      <c r="N14" s="235">
        <f>SUM(N5:N13)</f>
        <v>48.828000000000003</v>
      </c>
      <c r="O14" s="235"/>
    </row>
    <row r="15" spans="1:21" x14ac:dyDescent="0.25">
      <c r="B15" s="224"/>
      <c r="C15" s="224"/>
      <c r="D15" s="224"/>
      <c r="E15" s="224"/>
    </row>
    <row r="16" spans="1:21" x14ac:dyDescent="0.25">
      <c r="B16" s="224"/>
      <c r="C16" s="224"/>
      <c r="D16" s="224"/>
      <c r="E16" s="224"/>
    </row>
    <row r="17" spans="1:18" x14ac:dyDescent="0.25">
      <c r="B17" s="224"/>
      <c r="C17" s="224"/>
      <c r="D17" s="224"/>
      <c r="E17" s="224"/>
    </row>
    <row r="18" spans="1:18" ht="15.75" thickBot="1" x14ac:dyDescent="0.3"/>
    <row r="19" spans="1:18" ht="15.75" thickBot="1" x14ac:dyDescent="0.3">
      <c r="A19" s="379" t="s">
        <v>361</v>
      </c>
      <c r="B19" s="380"/>
      <c r="D19" s="374" t="s">
        <v>374</v>
      </c>
      <c r="E19" s="374"/>
      <c r="F19" s="374"/>
      <c r="G19" s="374"/>
      <c r="H19" s="374"/>
      <c r="I19" s="374"/>
      <c r="J19" s="374"/>
    </row>
    <row r="20" spans="1:18" x14ac:dyDescent="0.25">
      <c r="A20" s="226" t="s">
        <v>364</v>
      </c>
      <c r="B20" s="227">
        <v>1.3</v>
      </c>
      <c r="F20" s="389" t="s">
        <v>375</v>
      </c>
      <c r="G20" s="389"/>
      <c r="H20" t="s">
        <v>376</v>
      </c>
    </row>
    <row r="21" spans="1:18" x14ac:dyDescent="0.25">
      <c r="A21" s="222" t="s">
        <v>365</v>
      </c>
      <c r="B21" s="223">
        <v>1.3</v>
      </c>
      <c r="D21" t="s">
        <v>377</v>
      </c>
    </row>
    <row r="22" spans="1:18" x14ac:dyDescent="0.25">
      <c r="A22" s="222" t="s">
        <v>366</v>
      </c>
      <c r="B22" s="223">
        <v>0.9</v>
      </c>
      <c r="D22" s="390" t="s">
        <v>379</v>
      </c>
      <c r="E22" s="390"/>
      <c r="F22" s="390"/>
    </row>
    <row r="23" spans="1:18" x14ac:dyDescent="0.25">
      <c r="A23" s="222" t="s">
        <v>367</v>
      </c>
      <c r="B23" s="223">
        <v>0.9</v>
      </c>
      <c r="D23" s="390" t="s">
        <v>378</v>
      </c>
      <c r="E23" s="390"/>
      <c r="F23" s="390"/>
      <c r="G23" s="390"/>
      <c r="H23" s="390"/>
      <c r="I23" s="390"/>
      <c r="J23" s="390"/>
    </row>
    <row r="24" spans="1:18" x14ac:dyDescent="0.25">
      <c r="A24" s="222" t="s">
        <v>368</v>
      </c>
      <c r="B24" s="223">
        <v>1.2</v>
      </c>
      <c r="D24" s="390" t="s">
        <v>380</v>
      </c>
      <c r="E24" s="390"/>
      <c r="F24" s="390"/>
      <c r="G24" s="390"/>
      <c r="H24" s="390"/>
      <c r="I24" s="390"/>
      <c r="J24" s="390"/>
      <c r="K24" s="390"/>
      <c r="L24" s="390"/>
    </row>
    <row r="25" spans="1:18" x14ac:dyDescent="0.25">
      <c r="A25" s="222" t="s">
        <v>369</v>
      </c>
      <c r="B25" s="223">
        <v>1.2</v>
      </c>
      <c r="D25" s="390" t="s">
        <v>381</v>
      </c>
      <c r="E25" s="390"/>
      <c r="F25" s="390"/>
      <c r="G25" s="390"/>
      <c r="H25" s="390"/>
      <c r="I25" s="390"/>
      <c r="J25" s="390"/>
      <c r="K25" s="390"/>
      <c r="L25" s="236" t="s">
        <v>407</v>
      </c>
      <c r="M25" s="236"/>
      <c r="N25" s="236"/>
      <c r="O25" s="236"/>
      <c r="P25" s="236"/>
      <c r="Q25" s="236"/>
      <c r="R25" s="236"/>
    </row>
    <row r="26" spans="1:18" x14ac:dyDescent="0.25">
      <c r="A26" s="222" t="s">
        <v>362</v>
      </c>
      <c r="B26" s="223">
        <v>1.2</v>
      </c>
      <c r="D26" s="390" t="s">
        <v>382</v>
      </c>
      <c r="E26" s="390"/>
      <c r="F26" s="390"/>
      <c r="G26" s="390"/>
      <c r="H26" s="390"/>
      <c r="I26" s="390"/>
      <c r="J26" s="390"/>
      <c r="K26" s="390"/>
      <c r="L26" s="390"/>
      <c r="M26" s="390"/>
    </row>
    <row r="27" spans="1:18" ht="15.75" thickBot="1" x14ac:dyDescent="0.3">
      <c r="A27" s="222" t="s">
        <v>370</v>
      </c>
      <c r="B27" s="223">
        <v>1.2</v>
      </c>
      <c r="D27" s="231"/>
      <c r="E27" s="231"/>
      <c r="F27" s="231"/>
      <c r="G27" s="231"/>
      <c r="H27" s="231"/>
      <c r="I27" s="231"/>
      <c r="J27" s="231"/>
      <c r="K27" s="231"/>
      <c r="L27" s="231"/>
      <c r="M27" s="231"/>
    </row>
    <row r="28" spans="1:18" ht="15.75" thickBot="1" x14ac:dyDescent="0.3">
      <c r="A28" s="222" t="s">
        <v>371</v>
      </c>
      <c r="B28" s="223">
        <v>1.2</v>
      </c>
      <c r="D28" s="231"/>
      <c r="E28" s="231"/>
      <c r="F28" s="231"/>
      <c r="G28" s="231" t="s">
        <v>405</v>
      </c>
      <c r="H28" s="231"/>
      <c r="I28" s="231"/>
      <c r="J28" s="231"/>
      <c r="K28" s="231"/>
      <c r="L28" s="231"/>
      <c r="M28" s="231"/>
      <c r="P28" s="379" t="s">
        <v>273</v>
      </c>
      <c r="Q28" s="386"/>
      <c r="R28" s="380"/>
    </row>
    <row r="29" spans="1:18" ht="15.75" thickBot="1" x14ac:dyDescent="0.3">
      <c r="A29" s="222" t="s">
        <v>363</v>
      </c>
      <c r="B29" s="223">
        <v>0.9</v>
      </c>
      <c r="F29" s="384" t="s">
        <v>406</v>
      </c>
      <c r="G29" s="384"/>
      <c r="H29" s="384"/>
    </row>
    <row r="30" spans="1:18" x14ac:dyDescent="0.25">
      <c r="A30" s="222"/>
      <c r="B30" s="223"/>
      <c r="D30" s="392" t="s">
        <v>383</v>
      </c>
      <c r="E30" s="385"/>
      <c r="F30" s="385"/>
      <c r="G30" s="385"/>
      <c r="H30" s="385"/>
      <c r="I30" s="385" t="s">
        <v>400</v>
      </c>
      <c r="J30" s="385"/>
      <c r="K30" s="232" t="s">
        <v>404</v>
      </c>
    </row>
    <row r="31" spans="1:18" x14ac:dyDescent="0.25">
      <c r="A31" s="222"/>
      <c r="B31" s="223"/>
      <c r="D31" s="387" t="s">
        <v>384</v>
      </c>
      <c r="E31" s="388"/>
      <c r="F31" s="388"/>
      <c r="G31" s="388"/>
      <c r="H31" s="388"/>
      <c r="I31" s="376" t="s">
        <v>403</v>
      </c>
      <c r="J31" s="376"/>
      <c r="K31" s="233">
        <v>0.45</v>
      </c>
    </row>
    <row r="32" spans="1:18" ht="15.75" thickBot="1" x14ac:dyDescent="0.3">
      <c r="A32" s="391"/>
      <c r="B32" s="391"/>
      <c r="D32" s="387" t="s">
        <v>385</v>
      </c>
      <c r="E32" s="388"/>
      <c r="F32" s="388"/>
      <c r="G32" s="388"/>
      <c r="H32" s="388"/>
      <c r="I32" s="376" t="s">
        <v>403</v>
      </c>
      <c r="J32" s="376"/>
      <c r="K32" s="233">
        <v>0.35</v>
      </c>
    </row>
    <row r="33" spans="1:11" ht="15.75" thickBot="1" x14ac:dyDescent="0.3">
      <c r="A33" s="379" t="s">
        <v>408</v>
      </c>
      <c r="B33" s="380"/>
      <c r="D33" s="387" t="s">
        <v>386</v>
      </c>
      <c r="E33" s="388"/>
      <c r="F33" s="388"/>
      <c r="G33" s="388"/>
      <c r="H33" s="388"/>
      <c r="I33" s="376" t="s">
        <v>403</v>
      </c>
      <c r="J33" s="376"/>
      <c r="K33" s="233">
        <v>0.6</v>
      </c>
    </row>
    <row r="34" spans="1:11" x14ac:dyDescent="0.25">
      <c r="A34" s="226" t="s">
        <v>409</v>
      </c>
      <c r="B34" s="227">
        <f>2*(F13*C13)</f>
        <v>48.828000000000003</v>
      </c>
      <c r="D34" s="387" t="s">
        <v>387</v>
      </c>
      <c r="E34" s="388"/>
      <c r="F34" s="388"/>
      <c r="G34" s="388"/>
      <c r="H34" s="388"/>
      <c r="I34" s="376" t="s">
        <v>403</v>
      </c>
      <c r="J34" s="376"/>
      <c r="K34" s="233">
        <v>0.8</v>
      </c>
    </row>
    <row r="35" spans="1:11" x14ac:dyDescent="0.25">
      <c r="D35" s="387" t="s">
        <v>388</v>
      </c>
      <c r="E35" s="388"/>
      <c r="F35" s="388"/>
      <c r="G35" s="388"/>
      <c r="H35" s="388"/>
      <c r="I35" s="376" t="s">
        <v>403</v>
      </c>
      <c r="J35" s="376"/>
      <c r="K35" s="233">
        <v>1</v>
      </c>
    </row>
    <row r="36" spans="1:11" x14ac:dyDescent="0.25">
      <c r="D36" s="387" t="s">
        <v>389</v>
      </c>
      <c r="E36" s="388"/>
      <c r="F36" s="388"/>
      <c r="G36" s="388"/>
      <c r="H36" s="388"/>
      <c r="I36" s="376" t="s">
        <v>403</v>
      </c>
      <c r="J36" s="376"/>
      <c r="K36" s="233">
        <v>1.1000000000000001</v>
      </c>
    </row>
    <row r="37" spans="1:11" x14ac:dyDescent="0.25">
      <c r="D37" s="387" t="s">
        <v>390</v>
      </c>
      <c r="E37" s="388"/>
      <c r="F37" s="388"/>
      <c r="G37" s="388"/>
      <c r="H37" s="388"/>
      <c r="I37" s="376" t="s">
        <v>401</v>
      </c>
      <c r="J37" s="376"/>
      <c r="K37" s="233">
        <v>0.65</v>
      </c>
    </row>
    <row r="38" spans="1:11" x14ac:dyDescent="0.25">
      <c r="D38" s="387" t="s">
        <v>391</v>
      </c>
      <c r="E38" s="388"/>
      <c r="F38" s="388"/>
      <c r="G38" s="388"/>
      <c r="H38" s="388"/>
      <c r="I38" s="376" t="s">
        <v>403</v>
      </c>
      <c r="J38" s="376"/>
      <c r="K38" s="233">
        <v>0.35</v>
      </c>
    </row>
    <row r="39" spans="1:11" x14ac:dyDescent="0.25">
      <c r="D39" s="387" t="s">
        <v>392</v>
      </c>
      <c r="E39" s="388"/>
      <c r="F39" s="388"/>
      <c r="G39" s="388"/>
      <c r="H39" s="388"/>
      <c r="I39" s="376" t="s">
        <v>403</v>
      </c>
      <c r="J39" s="376"/>
      <c r="K39" s="233">
        <v>0.45</v>
      </c>
    </row>
    <row r="40" spans="1:11" x14ac:dyDescent="0.25">
      <c r="D40" s="387" t="s">
        <v>393</v>
      </c>
      <c r="E40" s="388"/>
      <c r="F40" s="388"/>
      <c r="G40" s="388"/>
      <c r="H40" s="388"/>
      <c r="I40" s="376" t="s">
        <v>403</v>
      </c>
      <c r="J40" s="376"/>
      <c r="K40" s="233">
        <v>0.9</v>
      </c>
    </row>
    <row r="41" spans="1:11" x14ac:dyDescent="0.25">
      <c r="D41" s="387" t="s">
        <v>394</v>
      </c>
      <c r="E41" s="388"/>
      <c r="F41" s="388"/>
      <c r="G41" s="388"/>
      <c r="H41" s="388"/>
      <c r="I41" s="376" t="s">
        <v>403</v>
      </c>
      <c r="J41" s="376"/>
      <c r="K41" s="233">
        <v>0.3</v>
      </c>
    </row>
    <row r="42" spans="1:11" x14ac:dyDescent="0.25">
      <c r="D42" s="387" t="s">
        <v>395</v>
      </c>
      <c r="E42" s="388"/>
      <c r="F42" s="388"/>
      <c r="G42" s="388"/>
      <c r="H42" s="388"/>
      <c r="I42" s="376" t="s">
        <v>403</v>
      </c>
      <c r="J42" s="376"/>
      <c r="K42" s="233">
        <v>0.4</v>
      </c>
    </row>
    <row r="43" spans="1:11" x14ac:dyDescent="0.25">
      <c r="D43" s="387" t="s">
        <v>396</v>
      </c>
      <c r="E43" s="388"/>
      <c r="F43" s="388"/>
      <c r="G43" s="388"/>
      <c r="H43" s="388"/>
      <c r="I43" s="376" t="s">
        <v>403</v>
      </c>
      <c r="J43" s="376"/>
      <c r="K43" s="233">
        <v>0.6</v>
      </c>
    </row>
    <row r="44" spans="1:11" x14ac:dyDescent="0.25">
      <c r="D44" s="387" t="s">
        <v>397</v>
      </c>
      <c r="E44" s="388"/>
      <c r="F44" s="388"/>
      <c r="G44" s="388"/>
      <c r="H44" s="388"/>
      <c r="I44" s="376" t="s">
        <v>402</v>
      </c>
      <c r="J44" s="376"/>
      <c r="K44" s="233">
        <v>0.35</v>
      </c>
    </row>
    <row r="45" spans="1:11" x14ac:dyDescent="0.25">
      <c r="D45" s="387" t="s">
        <v>398</v>
      </c>
      <c r="E45" s="388"/>
      <c r="F45" s="388"/>
      <c r="G45" s="388"/>
      <c r="H45" s="388"/>
      <c r="I45" s="376" t="s">
        <v>402</v>
      </c>
      <c r="J45" s="376"/>
      <c r="K45" s="233">
        <v>0.3</v>
      </c>
    </row>
    <row r="46" spans="1:11" ht="15.75" thickBot="1" x14ac:dyDescent="0.3">
      <c r="D46" s="424" t="s">
        <v>399</v>
      </c>
      <c r="E46" s="425"/>
      <c r="F46" s="425"/>
      <c r="G46" s="425"/>
      <c r="H46" s="425"/>
      <c r="I46" s="383" t="s">
        <v>402</v>
      </c>
      <c r="J46" s="383"/>
      <c r="K46" s="234">
        <v>0.2</v>
      </c>
    </row>
    <row r="48" spans="1:11" ht="15.75" thickBot="1" x14ac:dyDescent="0.3"/>
    <row r="49" spans="1:9" ht="15.75" thickBot="1" x14ac:dyDescent="0.3">
      <c r="A49" s="379" t="s">
        <v>150</v>
      </c>
      <c r="B49" s="386"/>
      <c r="C49" s="386"/>
      <c r="D49" s="386"/>
      <c r="E49" s="380"/>
      <c r="H49" s="379" t="s">
        <v>435</v>
      </c>
      <c r="I49" s="380"/>
    </row>
    <row r="50" spans="1:9" x14ac:dyDescent="0.25">
      <c r="A50" s="409" t="s">
        <v>74</v>
      </c>
      <c r="B50" s="402"/>
      <c r="C50" s="402"/>
      <c r="D50" s="402"/>
      <c r="E50" s="410"/>
      <c r="H50" s="272" t="s">
        <v>432</v>
      </c>
      <c r="I50" s="272" t="s">
        <v>433</v>
      </c>
    </row>
    <row r="51" spans="1:9" ht="15.75" thickBot="1" x14ac:dyDescent="0.3">
      <c r="A51" s="401" t="s">
        <v>75</v>
      </c>
      <c r="B51" s="402"/>
      <c r="C51" s="402"/>
      <c r="D51" s="402"/>
      <c r="E51" s="403"/>
      <c r="H51" s="223">
        <v>6</v>
      </c>
      <c r="I51" s="225">
        <v>3</v>
      </c>
    </row>
    <row r="52" spans="1:9" ht="15.75" thickBot="1" x14ac:dyDescent="0.3">
      <c r="A52" s="253" t="s">
        <v>77</v>
      </c>
      <c r="B52" s="222"/>
      <c r="C52" s="222"/>
      <c r="D52" s="244" t="s">
        <v>31</v>
      </c>
      <c r="E52" s="255">
        <f>F14</f>
        <v>448.84000000000003</v>
      </c>
      <c r="H52" s="273" t="s">
        <v>434</v>
      </c>
      <c r="I52" s="235">
        <f>H51*I51</f>
        <v>18</v>
      </c>
    </row>
    <row r="53" spans="1:9" x14ac:dyDescent="0.25">
      <c r="A53" s="404" t="s">
        <v>78</v>
      </c>
      <c r="B53" s="405"/>
      <c r="C53" s="405"/>
      <c r="D53" s="405"/>
      <c r="E53" s="406"/>
    </row>
    <row r="54" spans="1:9" x14ac:dyDescent="0.25">
      <c r="A54" s="253" t="s">
        <v>80</v>
      </c>
      <c r="B54" s="222"/>
      <c r="C54" s="222"/>
      <c r="D54" s="244" t="s">
        <v>8</v>
      </c>
      <c r="E54" s="255">
        <v>4</v>
      </c>
    </row>
    <row r="55" spans="1:9" x14ac:dyDescent="0.25">
      <c r="A55" s="404" t="s">
        <v>82</v>
      </c>
      <c r="B55" s="405"/>
      <c r="C55" s="405"/>
      <c r="D55" s="405"/>
      <c r="E55" s="406"/>
    </row>
    <row r="56" spans="1:9" x14ac:dyDescent="0.25">
      <c r="A56" s="253" t="s">
        <v>269</v>
      </c>
      <c r="B56" s="222"/>
      <c r="C56" s="222"/>
      <c r="D56" s="244" t="s">
        <v>8</v>
      </c>
      <c r="E56" s="255">
        <v>6</v>
      </c>
    </row>
    <row r="57" spans="1:9" ht="15.75" thickBot="1" x14ac:dyDescent="0.3">
      <c r="A57" s="254" t="s">
        <v>270</v>
      </c>
      <c r="B57" s="243"/>
      <c r="C57" s="243"/>
      <c r="D57" s="251" t="s">
        <v>31</v>
      </c>
      <c r="E57" s="256">
        <v>1.6</v>
      </c>
    </row>
    <row r="58" spans="1:9" ht="15.75" thickBot="1" x14ac:dyDescent="0.3">
      <c r="A58" s="379" t="s">
        <v>316</v>
      </c>
      <c r="B58" s="386"/>
      <c r="C58" s="386"/>
      <c r="D58" s="386"/>
      <c r="E58" s="380"/>
    </row>
    <row r="59" spans="1:9" ht="27.75" customHeight="1" x14ac:dyDescent="0.25">
      <c r="A59" s="407" t="s">
        <v>413</v>
      </c>
      <c r="B59" s="408"/>
      <c r="C59" s="408"/>
      <c r="D59" s="250" t="s">
        <v>31</v>
      </c>
      <c r="E59" s="257">
        <f>F14</f>
        <v>448.84000000000003</v>
      </c>
    </row>
    <row r="60" spans="1:9" ht="28.5" customHeight="1" x14ac:dyDescent="0.25">
      <c r="A60" s="393" t="s">
        <v>320</v>
      </c>
      <c r="B60" s="394"/>
      <c r="C60" s="394"/>
      <c r="D60" s="244" t="s">
        <v>8</v>
      </c>
      <c r="E60" s="255">
        <v>4</v>
      </c>
    </row>
    <row r="61" spans="1:9" ht="44.25" customHeight="1" x14ac:dyDescent="0.25">
      <c r="A61" s="393" t="s">
        <v>414</v>
      </c>
      <c r="B61" s="394"/>
      <c r="C61" s="394"/>
      <c r="D61" s="244" t="s">
        <v>323</v>
      </c>
      <c r="E61" s="255">
        <v>4</v>
      </c>
    </row>
    <row r="62" spans="1:9" ht="30" customHeight="1" x14ac:dyDescent="0.25">
      <c r="A62" s="393" t="s">
        <v>415</v>
      </c>
      <c r="B62" s="394"/>
      <c r="C62" s="394"/>
      <c r="D62" s="244" t="s">
        <v>8</v>
      </c>
      <c r="E62" s="255"/>
    </row>
    <row r="63" spans="1:9" ht="30" customHeight="1" thickBot="1" x14ac:dyDescent="0.3">
      <c r="A63" s="395" t="s">
        <v>422</v>
      </c>
      <c r="B63" s="396"/>
      <c r="C63" s="396"/>
      <c r="D63" s="245" t="s">
        <v>8</v>
      </c>
      <c r="E63" s="258">
        <v>6</v>
      </c>
    </row>
    <row r="65" spans="1:16" ht="15.75" thickBot="1" x14ac:dyDescent="0.3"/>
    <row r="66" spans="1:16" ht="15.75" thickBot="1" x14ac:dyDescent="0.3">
      <c r="G66" s="379" t="s">
        <v>87</v>
      </c>
      <c r="H66" s="386"/>
      <c r="I66" s="386"/>
      <c r="J66" s="386"/>
      <c r="K66" s="380"/>
      <c r="M66" s="222" t="s">
        <v>441</v>
      </c>
      <c r="N66" s="222" t="s">
        <v>442</v>
      </c>
    </row>
    <row r="67" spans="1:16" ht="15.75" thickBot="1" x14ac:dyDescent="0.3">
      <c r="A67" s="379" t="s">
        <v>336</v>
      </c>
      <c r="B67" s="386"/>
      <c r="C67" s="386"/>
      <c r="D67" s="386"/>
      <c r="E67" s="380"/>
      <c r="G67" s="375" t="s">
        <v>279</v>
      </c>
      <c r="H67" s="375"/>
      <c r="I67" s="375"/>
      <c r="J67" s="250" t="s">
        <v>21</v>
      </c>
      <c r="K67" s="292">
        <f>M67*N67</f>
        <v>12.6</v>
      </c>
      <c r="M67" s="222">
        <f>8+13</f>
        <v>21</v>
      </c>
      <c r="N67" s="222">
        <v>0.6</v>
      </c>
    </row>
    <row r="68" spans="1:16" x14ac:dyDescent="0.25">
      <c r="A68" s="401" t="s">
        <v>49</v>
      </c>
      <c r="B68" s="402"/>
      <c r="C68" s="402"/>
      <c r="D68" s="402"/>
      <c r="E68" s="403"/>
      <c r="G68" s="376" t="s">
        <v>94</v>
      </c>
      <c r="H68" s="376"/>
      <c r="I68" s="376"/>
      <c r="J68" s="244" t="s">
        <v>31</v>
      </c>
      <c r="K68" s="291"/>
      <c r="M68" s="222">
        <f>30+4</f>
        <v>34</v>
      </c>
      <c r="N68" s="222"/>
    </row>
    <row r="69" spans="1:16" x14ac:dyDescent="0.25">
      <c r="A69" s="397" t="s">
        <v>183</v>
      </c>
      <c r="B69" s="398"/>
      <c r="C69" s="398"/>
      <c r="D69" s="250" t="s">
        <v>36</v>
      </c>
      <c r="E69" s="255"/>
    </row>
    <row r="70" spans="1:16" x14ac:dyDescent="0.25">
      <c r="A70" s="399" t="s">
        <v>185</v>
      </c>
      <c r="B70" s="400"/>
      <c r="C70" s="400"/>
      <c r="D70" s="251" t="s">
        <v>36</v>
      </c>
      <c r="E70" s="255"/>
    </row>
    <row r="71" spans="1:16" ht="28.5" customHeight="1" x14ac:dyDescent="0.25">
      <c r="A71" s="413" t="s">
        <v>51</v>
      </c>
      <c r="B71" s="414"/>
      <c r="C71" s="414"/>
      <c r="D71" s="414"/>
      <c r="E71" s="415"/>
    </row>
    <row r="72" spans="1:16" ht="15.75" thickBot="1" x14ac:dyDescent="0.3">
      <c r="A72" s="397" t="s">
        <v>187</v>
      </c>
      <c r="B72" s="398"/>
      <c r="C72" s="398"/>
      <c r="D72" s="250" t="s">
        <v>36</v>
      </c>
      <c r="E72" s="255"/>
    </row>
    <row r="73" spans="1:16" ht="27" customHeight="1" thickBot="1" x14ac:dyDescent="0.3">
      <c r="A73" s="411" t="s">
        <v>337</v>
      </c>
      <c r="B73" s="412"/>
      <c r="C73" s="412"/>
      <c r="D73" s="251" t="s">
        <v>36</v>
      </c>
      <c r="E73" s="255"/>
      <c r="I73" s="419" t="s">
        <v>428</v>
      </c>
      <c r="J73" s="419"/>
      <c r="K73" s="419"/>
      <c r="O73" s="377" t="s">
        <v>436</v>
      </c>
      <c r="P73" s="378"/>
    </row>
    <row r="74" spans="1:16" ht="15.75" thickBot="1" x14ac:dyDescent="0.3">
      <c r="A74" s="404" t="s">
        <v>204</v>
      </c>
      <c r="B74" s="405"/>
      <c r="C74" s="405"/>
      <c r="D74" s="405"/>
      <c r="E74" s="406"/>
      <c r="G74" s="421" t="s">
        <v>348</v>
      </c>
      <c r="H74" s="422"/>
      <c r="I74" s="261" t="s">
        <v>423</v>
      </c>
      <c r="J74" s="259" t="s">
        <v>424</v>
      </c>
      <c r="K74" s="261" t="s">
        <v>425</v>
      </c>
      <c r="L74" s="260" t="s">
        <v>426</v>
      </c>
      <c r="M74" s="262" t="s">
        <v>427</v>
      </c>
      <c r="O74" s="239" t="s">
        <v>57</v>
      </c>
      <c r="P74" s="274" t="s">
        <v>58</v>
      </c>
    </row>
    <row r="75" spans="1:16" x14ac:dyDescent="0.25">
      <c r="A75" s="397" t="s">
        <v>57</v>
      </c>
      <c r="B75" s="398"/>
      <c r="C75" s="398"/>
      <c r="D75" s="250" t="s">
        <v>36</v>
      </c>
      <c r="E75" s="255"/>
      <c r="G75" s="423" t="s">
        <v>349</v>
      </c>
      <c r="H75" s="375"/>
      <c r="I75" s="227">
        <f>C5</f>
        <v>1.05</v>
      </c>
      <c r="J75" s="227">
        <f>D5</f>
        <v>0.5</v>
      </c>
      <c r="K75" s="227">
        <v>1.5</v>
      </c>
      <c r="L75" s="227">
        <f>I75*J75*K75*M75</f>
        <v>3.9375000000000004</v>
      </c>
      <c r="M75" s="263">
        <v>5</v>
      </c>
      <c r="O75" s="227">
        <f>K75*J75*0.3</f>
        <v>0.22499999999999998</v>
      </c>
      <c r="P75" s="227">
        <f>K75*J75*(I75-0.3)</f>
        <v>0.5625</v>
      </c>
    </row>
    <row r="76" spans="1:16" x14ac:dyDescent="0.25">
      <c r="A76" s="399" t="s">
        <v>58</v>
      </c>
      <c r="B76" s="400"/>
      <c r="C76" s="400"/>
      <c r="D76" s="251" t="s">
        <v>36</v>
      </c>
      <c r="E76" s="255"/>
      <c r="G76" s="420" t="s">
        <v>350</v>
      </c>
      <c r="H76" s="376"/>
      <c r="I76" s="227">
        <f t="shared" ref="I76:I83" si="4">C6</f>
        <v>1.2</v>
      </c>
      <c r="J76" s="227">
        <f t="shared" ref="J76:J83" si="5">D6</f>
        <v>0.5</v>
      </c>
      <c r="K76" s="223">
        <v>1.5</v>
      </c>
      <c r="L76" s="227">
        <f t="shared" ref="L76:L83" si="6">I76*J76*K76*M76</f>
        <v>3.5999999999999996</v>
      </c>
      <c r="M76" s="264">
        <v>4</v>
      </c>
      <c r="O76" s="227">
        <f t="shared" ref="O76:O83" si="7">K76*J76*0.3</f>
        <v>0.22499999999999998</v>
      </c>
      <c r="P76" s="227">
        <f t="shared" ref="P76:P83" si="8">K76*J76*(I76-0.3)</f>
        <v>0.67499999999999993</v>
      </c>
    </row>
    <row r="77" spans="1:16" x14ac:dyDescent="0.25">
      <c r="A77" s="404" t="s">
        <v>60</v>
      </c>
      <c r="B77" s="405"/>
      <c r="C77" s="405"/>
      <c r="D77" s="405"/>
      <c r="E77" s="406"/>
      <c r="G77" s="420" t="s">
        <v>351</v>
      </c>
      <c r="H77" s="376"/>
      <c r="I77" s="227">
        <f t="shared" si="4"/>
        <v>1.2</v>
      </c>
      <c r="J77" s="227">
        <f t="shared" si="5"/>
        <v>0.5</v>
      </c>
      <c r="K77" s="223">
        <v>1.5</v>
      </c>
      <c r="L77" s="227">
        <f t="shared" si="6"/>
        <v>4.5</v>
      </c>
      <c r="M77" s="264">
        <v>5</v>
      </c>
      <c r="O77" s="227">
        <f t="shared" si="7"/>
        <v>0.22499999999999998</v>
      </c>
      <c r="P77" s="227">
        <f t="shared" si="8"/>
        <v>0.67499999999999993</v>
      </c>
    </row>
    <row r="78" spans="1:16" x14ac:dyDescent="0.25">
      <c r="A78" s="397" t="s">
        <v>57</v>
      </c>
      <c r="B78" s="398"/>
      <c r="C78" s="398"/>
      <c r="D78" s="250" t="s">
        <v>36</v>
      </c>
      <c r="E78" s="255"/>
      <c r="G78" s="420" t="s">
        <v>352</v>
      </c>
      <c r="H78" s="376"/>
      <c r="I78" s="227">
        <f t="shared" si="4"/>
        <v>1.2</v>
      </c>
      <c r="J78" s="227">
        <f t="shared" si="5"/>
        <v>0.5</v>
      </c>
      <c r="K78" s="223">
        <v>1.5</v>
      </c>
      <c r="L78" s="227">
        <f t="shared" si="6"/>
        <v>2.6999999999999997</v>
      </c>
      <c r="M78" s="264">
        <v>3</v>
      </c>
      <c r="O78" s="227">
        <f t="shared" si="7"/>
        <v>0.22499999999999998</v>
      </c>
      <c r="P78" s="227">
        <f t="shared" si="8"/>
        <v>0.67499999999999993</v>
      </c>
    </row>
    <row r="79" spans="1:16" x14ac:dyDescent="0.25">
      <c r="A79" s="399" t="s">
        <v>58</v>
      </c>
      <c r="B79" s="400"/>
      <c r="C79" s="400"/>
      <c r="D79" s="251" t="s">
        <v>36</v>
      </c>
      <c r="E79" s="255"/>
      <c r="G79" s="420" t="s">
        <v>353</v>
      </c>
      <c r="H79" s="376"/>
      <c r="I79" s="227">
        <f t="shared" si="4"/>
        <v>1.2</v>
      </c>
      <c r="J79" s="227">
        <f t="shared" si="5"/>
        <v>0.5</v>
      </c>
      <c r="K79" s="223">
        <v>1.5</v>
      </c>
      <c r="L79" s="227">
        <f t="shared" si="6"/>
        <v>0.89999999999999991</v>
      </c>
      <c r="M79" s="264">
        <v>1</v>
      </c>
      <c r="O79" s="227">
        <f t="shared" si="7"/>
        <v>0.22499999999999998</v>
      </c>
      <c r="P79" s="227">
        <f t="shared" si="8"/>
        <v>0.67499999999999993</v>
      </c>
    </row>
    <row r="80" spans="1:16" x14ac:dyDescent="0.25">
      <c r="A80" s="404" t="s">
        <v>75</v>
      </c>
      <c r="B80" s="405"/>
      <c r="C80" s="405"/>
      <c r="D80" s="405"/>
      <c r="E80" s="406"/>
      <c r="G80" s="420" t="s">
        <v>354</v>
      </c>
      <c r="H80" s="376"/>
      <c r="I80" s="227">
        <f t="shared" si="4"/>
        <v>1.05</v>
      </c>
      <c r="J80" s="227">
        <f t="shared" si="5"/>
        <v>0.5</v>
      </c>
      <c r="K80" s="223">
        <v>1.5</v>
      </c>
      <c r="L80" s="227">
        <f t="shared" si="6"/>
        <v>3.9375000000000004</v>
      </c>
      <c r="M80" s="264">
        <v>5</v>
      </c>
      <c r="O80" s="227">
        <f t="shared" si="7"/>
        <v>0.22499999999999998</v>
      </c>
      <c r="P80" s="227">
        <f t="shared" si="8"/>
        <v>0.5625</v>
      </c>
    </row>
    <row r="81" spans="1:16" x14ac:dyDescent="0.25">
      <c r="A81" s="416" t="s">
        <v>112</v>
      </c>
      <c r="B81" s="417"/>
      <c r="C81" s="417"/>
      <c r="D81" s="252" t="s">
        <v>31</v>
      </c>
      <c r="E81" s="255">
        <v>13.5</v>
      </c>
      <c r="G81" s="420" t="s">
        <v>355</v>
      </c>
      <c r="H81" s="376"/>
      <c r="I81" s="227">
        <f t="shared" si="4"/>
        <v>1.1000000000000001</v>
      </c>
      <c r="J81" s="227">
        <f t="shared" si="5"/>
        <v>0.5</v>
      </c>
      <c r="K81" s="223">
        <v>1.5</v>
      </c>
      <c r="L81" s="227">
        <f t="shared" si="6"/>
        <v>3.3000000000000003</v>
      </c>
      <c r="M81" s="264">
        <v>4</v>
      </c>
      <c r="O81" s="227">
        <f t="shared" si="7"/>
        <v>0.22499999999999998</v>
      </c>
      <c r="P81" s="227">
        <f t="shared" si="8"/>
        <v>0.60000000000000009</v>
      </c>
    </row>
    <row r="82" spans="1:16" x14ac:dyDescent="0.25">
      <c r="A82" s="413" t="s">
        <v>115</v>
      </c>
      <c r="B82" s="414"/>
      <c r="C82" s="414"/>
      <c r="D82" s="414"/>
      <c r="E82" s="415"/>
      <c r="G82" s="420" t="s">
        <v>356</v>
      </c>
      <c r="H82" s="376"/>
      <c r="I82" s="227">
        <f t="shared" si="4"/>
        <v>1.1000000000000001</v>
      </c>
      <c r="J82" s="227">
        <f t="shared" si="5"/>
        <v>0.5</v>
      </c>
      <c r="K82" s="223">
        <v>1.5</v>
      </c>
      <c r="L82" s="227">
        <f t="shared" si="6"/>
        <v>1.6500000000000001</v>
      </c>
      <c r="M82" s="264">
        <v>2</v>
      </c>
      <c r="O82" s="227">
        <f t="shared" si="7"/>
        <v>0.22499999999999998</v>
      </c>
      <c r="P82" s="227">
        <f t="shared" si="8"/>
        <v>0.60000000000000009</v>
      </c>
    </row>
    <row r="83" spans="1:16" ht="15.75" thickBot="1" x14ac:dyDescent="0.3">
      <c r="A83" s="416" t="s">
        <v>117</v>
      </c>
      <c r="B83" s="417"/>
      <c r="C83" s="417"/>
      <c r="D83" s="252" t="s">
        <v>8</v>
      </c>
      <c r="E83" s="256">
        <v>30</v>
      </c>
      <c r="G83" s="418" t="s">
        <v>357</v>
      </c>
      <c r="H83" s="383"/>
      <c r="I83" s="265">
        <f t="shared" si="4"/>
        <v>1.3</v>
      </c>
      <c r="J83" s="265">
        <f t="shared" si="5"/>
        <v>0.6</v>
      </c>
      <c r="K83" s="266">
        <v>1.5</v>
      </c>
      <c r="L83" s="265">
        <f t="shared" si="6"/>
        <v>1.17</v>
      </c>
      <c r="M83" s="267">
        <v>1</v>
      </c>
      <c r="O83" s="227">
        <f t="shared" si="7"/>
        <v>0.26999999999999996</v>
      </c>
      <c r="P83" s="227">
        <f t="shared" si="8"/>
        <v>0.89999999999999991</v>
      </c>
    </row>
    <row r="84" spans="1:16" ht="15.75" thickBot="1" x14ac:dyDescent="0.3">
      <c r="A84" s="379" t="s">
        <v>339</v>
      </c>
      <c r="B84" s="386"/>
      <c r="C84" s="386"/>
      <c r="D84" s="386"/>
      <c r="E84" s="380"/>
      <c r="J84" s="271" t="s">
        <v>132</v>
      </c>
      <c r="K84" s="268">
        <f>SUM(K75:K83)</f>
        <v>13.5</v>
      </c>
      <c r="L84" s="269">
        <f>SUM(L75:L83)</f>
        <v>25.695</v>
      </c>
      <c r="M84" s="270">
        <f>SUM(M75:M83)</f>
        <v>30</v>
      </c>
      <c r="O84" s="235">
        <f>SUM(O75:O83)</f>
        <v>2.0700000000000003</v>
      </c>
      <c r="P84" s="275">
        <f>SUM(P75:P83)</f>
        <v>5.9249999999999989</v>
      </c>
    </row>
    <row r="85" spans="1:16" ht="27" customHeight="1" x14ac:dyDescent="0.25">
      <c r="A85" s="407" t="s">
        <v>416</v>
      </c>
      <c r="B85" s="408"/>
      <c r="C85" s="408"/>
      <c r="D85" s="250" t="s">
        <v>8</v>
      </c>
      <c r="E85" s="257">
        <v>30</v>
      </c>
    </row>
    <row r="86" spans="1:16" ht="26.25" customHeight="1" x14ac:dyDescent="0.25">
      <c r="A86" s="393" t="s">
        <v>417</v>
      </c>
      <c r="B86" s="394"/>
      <c r="C86" s="394"/>
      <c r="D86" s="244" t="s">
        <v>323</v>
      </c>
      <c r="E86" s="255">
        <v>30</v>
      </c>
    </row>
    <row r="87" spans="1:16" ht="27.75" customHeight="1" x14ac:dyDescent="0.25">
      <c r="A87" s="393" t="s">
        <v>418</v>
      </c>
      <c r="B87" s="394"/>
      <c r="C87" s="394"/>
      <c r="D87" s="244" t="s">
        <v>31</v>
      </c>
      <c r="E87" s="255">
        <v>13.5</v>
      </c>
    </row>
    <row r="88" spans="1:16" ht="27" customHeight="1" x14ac:dyDescent="0.25">
      <c r="A88" s="393" t="s">
        <v>419</v>
      </c>
      <c r="B88" s="394"/>
      <c r="C88" s="394"/>
      <c r="D88" s="244" t="s">
        <v>8</v>
      </c>
      <c r="E88" s="255">
        <v>30</v>
      </c>
    </row>
    <row r="89" spans="1:16" ht="28.5" customHeight="1" thickBot="1" x14ac:dyDescent="0.3">
      <c r="A89" s="395" t="s">
        <v>420</v>
      </c>
      <c r="B89" s="396"/>
      <c r="C89" s="396"/>
      <c r="D89" s="245" t="s">
        <v>8</v>
      </c>
      <c r="E89" s="258">
        <v>30</v>
      </c>
    </row>
  </sheetData>
  <mergeCells count="100">
    <mergeCell ref="N3:O3"/>
    <mergeCell ref="G83:H83"/>
    <mergeCell ref="I73:K73"/>
    <mergeCell ref="G78:H78"/>
    <mergeCell ref="G79:H79"/>
    <mergeCell ref="G80:H80"/>
    <mergeCell ref="G81:H81"/>
    <mergeCell ref="G82:H82"/>
    <mergeCell ref="G74:H74"/>
    <mergeCell ref="G75:H75"/>
    <mergeCell ref="G76:H76"/>
    <mergeCell ref="G77:H77"/>
    <mergeCell ref="D34:H34"/>
    <mergeCell ref="D33:H33"/>
    <mergeCell ref="D32:H32"/>
    <mergeCell ref="D46:H46"/>
    <mergeCell ref="A86:C86"/>
    <mergeCell ref="A87:C87"/>
    <mergeCell ref="A88:C88"/>
    <mergeCell ref="A89:C89"/>
    <mergeCell ref="A67:E67"/>
    <mergeCell ref="A68:E68"/>
    <mergeCell ref="A71:E71"/>
    <mergeCell ref="A74:E74"/>
    <mergeCell ref="A77:E77"/>
    <mergeCell ref="A80:E80"/>
    <mergeCell ref="A82:E82"/>
    <mergeCell ref="A84:E84"/>
    <mergeCell ref="A81:C81"/>
    <mergeCell ref="A83:C83"/>
    <mergeCell ref="A85:C85"/>
    <mergeCell ref="A76:C76"/>
    <mergeCell ref="D41:H41"/>
    <mergeCell ref="I33:J33"/>
    <mergeCell ref="A78:C78"/>
    <mergeCell ref="A79:C79"/>
    <mergeCell ref="A72:C72"/>
    <mergeCell ref="A73:C73"/>
    <mergeCell ref="A75:C75"/>
    <mergeCell ref="A62:C62"/>
    <mergeCell ref="A63:C63"/>
    <mergeCell ref="A69:C69"/>
    <mergeCell ref="A70:C70"/>
    <mergeCell ref="A49:E49"/>
    <mergeCell ref="A51:E51"/>
    <mergeCell ref="A53:E53"/>
    <mergeCell ref="A55:E55"/>
    <mergeCell ref="A58:E58"/>
    <mergeCell ref="A59:C59"/>
    <mergeCell ref="A60:C60"/>
    <mergeCell ref="A61:C61"/>
    <mergeCell ref="A50:E50"/>
    <mergeCell ref="P28:R28"/>
    <mergeCell ref="D36:H36"/>
    <mergeCell ref="D35:H35"/>
    <mergeCell ref="A19:B19"/>
    <mergeCell ref="D19:J19"/>
    <mergeCell ref="F20:G20"/>
    <mergeCell ref="D22:F22"/>
    <mergeCell ref="A32:B32"/>
    <mergeCell ref="A33:B33"/>
    <mergeCell ref="D31:H31"/>
    <mergeCell ref="D30:H30"/>
    <mergeCell ref="D23:J23"/>
    <mergeCell ref="D24:L24"/>
    <mergeCell ref="D25:K25"/>
    <mergeCell ref="D26:M26"/>
    <mergeCell ref="I31:J31"/>
    <mergeCell ref="I30:J30"/>
    <mergeCell ref="I34:J34"/>
    <mergeCell ref="G66:K66"/>
    <mergeCell ref="D40:H40"/>
    <mergeCell ref="D39:H39"/>
    <mergeCell ref="D38:H38"/>
    <mergeCell ref="D37:H37"/>
    <mergeCell ref="I36:J36"/>
    <mergeCell ref="I38:J38"/>
    <mergeCell ref="I39:J39"/>
    <mergeCell ref="I37:J37"/>
    <mergeCell ref="D45:H45"/>
    <mergeCell ref="D44:H44"/>
    <mergeCell ref="D43:H43"/>
    <mergeCell ref="D42:H42"/>
    <mergeCell ref="I32:J32"/>
    <mergeCell ref="R3:T3"/>
    <mergeCell ref="G67:I67"/>
    <mergeCell ref="G68:I68"/>
    <mergeCell ref="K3:L3"/>
    <mergeCell ref="O73:P73"/>
    <mergeCell ref="H49:I49"/>
    <mergeCell ref="H4:I4"/>
    <mergeCell ref="I45:J45"/>
    <mergeCell ref="I46:J46"/>
    <mergeCell ref="F29:H29"/>
    <mergeCell ref="I40:J40"/>
    <mergeCell ref="I41:J41"/>
    <mergeCell ref="I42:J42"/>
    <mergeCell ref="I43:J43"/>
    <mergeCell ref="I44:J44"/>
    <mergeCell ref="I35:J35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54D1-438B-4BF6-9273-BD2067B54A1E}">
  <sheetPr>
    <pageSetUpPr fitToPage="1"/>
  </sheetPr>
  <dimension ref="A1:P30"/>
  <sheetViews>
    <sheetView workbookViewId="0">
      <selection activeCell="L16" sqref="L16"/>
    </sheetView>
  </sheetViews>
  <sheetFormatPr defaultRowHeight="15" x14ac:dyDescent="0.25"/>
  <cols>
    <col min="1" max="1" width="10.42578125" bestFit="1" customWidth="1"/>
    <col min="7" max="15" width="10" bestFit="1" customWidth="1"/>
    <col min="16" max="16" width="11" bestFit="1" customWidth="1"/>
  </cols>
  <sheetData>
    <row r="1" spans="1:16" ht="20.25" x14ac:dyDescent="0.3">
      <c r="A1" s="448" t="s">
        <v>127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50"/>
    </row>
    <row r="2" spans="1:16" ht="15.75" x14ac:dyDescent="0.25">
      <c r="A2" s="451" t="s">
        <v>9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3"/>
    </row>
    <row r="3" spans="1:16" ht="15.75" x14ac:dyDescent="0.25">
      <c r="A3" s="454" t="s">
        <v>120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6"/>
    </row>
    <row r="4" spans="1:16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1"/>
    </row>
    <row r="5" spans="1:16" ht="18" x14ac:dyDescent="0.25">
      <c r="A5" s="457" t="s">
        <v>121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9"/>
    </row>
    <row r="6" spans="1:16" ht="18" x14ac:dyDescent="0.25">
      <c r="A6" s="72"/>
      <c r="B6" s="73"/>
      <c r="C6" s="73"/>
      <c r="D6" s="73"/>
      <c r="E6" s="73"/>
      <c r="F6" s="73"/>
      <c r="G6" s="73"/>
      <c r="H6" s="73"/>
      <c r="I6" s="69"/>
      <c r="J6" s="69"/>
      <c r="K6" s="69"/>
      <c r="L6" s="69"/>
      <c r="M6" s="69"/>
      <c r="N6" s="69"/>
      <c r="O6" s="70"/>
      <c r="P6" s="71"/>
    </row>
    <row r="7" spans="1:16" x14ac:dyDescent="0.25">
      <c r="A7" s="68" t="s">
        <v>128</v>
      </c>
      <c r="B7" s="428" t="s">
        <v>147</v>
      </c>
      <c r="C7" s="428"/>
      <c r="D7" s="428"/>
      <c r="E7" s="428"/>
      <c r="F7" s="428"/>
      <c r="G7" s="74"/>
      <c r="H7" s="69"/>
      <c r="I7" s="69"/>
      <c r="J7" s="69"/>
      <c r="K7" s="69"/>
      <c r="L7" s="69"/>
      <c r="M7" s="69"/>
      <c r="N7" s="69"/>
      <c r="O7" s="69"/>
      <c r="P7" s="75"/>
    </row>
    <row r="8" spans="1:16" x14ac:dyDescent="0.25">
      <c r="A8" s="68" t="s">
        <v>129</v>
      </c>
      <c r="B8" s="428" t="s">
        <v>445</v>
      </c>
      <c r="C8" s="428"/>
      <c r="D8" s="428"/>
      <c r="E8" s="428"/>
      <c r="F8" s="428"/>
      <c r="G8" s="428"/>
      <c r="H8" s="69"/>
      <c r="I8" s="69"/>
      <c r="J8" s="69"/>
      <c r="K8" s="69"/>
      <c r="L8" s="69"/>
      <c r="M8" s="69"/>
      <c r="N8" s="69"/>
      <c r="O8" s="69"/>
      <c r="P8" s="75"/>
    </row>
    <row r="9" spans="1:16" x14ac:dyDescent="0.25">
      <c r="A9" s="68" t="s">
        <v>130</v>
      </c>
      <c r="B9" s="428" t="s">
        <v>444</v>
      </c>
      <c r="C9" s="428"/>
      <c r="D9" s="428"/>
      <c r="E9" s="428"/>
      <c r="F9" s="428"/>
      <c r="G9" s="428"/>
      <c r="H9" s="69"/>
      <c r="I9" s="69"/>
      <c r="J9" s="69"/>
      <c r="K9" s="69"/>
      <c r="L9" s="69"/>
      <c r="M9" s="69"/>
      <c r="N9" s="69"/>
      <c r="O9" s="69"/>
      <c r="P9" s="75"/>
    </row>
    <row r="10" spans="1:16" x14ac:dyDescent="0.25">
      <c r="A10" s="68" t="s">
        <v>148</v>
      </c>
      <c r="B10" s="429" t="s">
        <v>149</v>
      </c>
      <c r="C10" s="429"/>
      <c r="D10" s="429"/>
      <c r="E10" s="429"/>
      <c r="F10" s="429"/>
      <c r="G10" s="429"/>
      <c r="H10" s="76"/>
      <c r="I10" s="69"/>
      <c r="J10" s="69"/>
      <c r="K10" s="69"/>
      <c r="L10" s="69"/>
      <c r="M10" s="69"/>
      <c r="N10" s="69"/>
      <c r="O10" s="69"/>
      <c r="P10" s="75"/>
    </row>
    <row r="11" spans="1:16" ht="15.75" thickBot="1" x14ac:dyDescent="0.3">
      <c r="A11" s="77"/>
      <c r="B11" s="78"/>
      <c r="C11" s="79"/>
      <c r="D11" s="79"/>
      <c r="E11" s="80"/>
      <c r="F11" s="80"/>
      <c r="G11" s="81"/>
      <c r="H11" s="81"/>
      <c r="I11" s="70"/>
      <c r="J11" s="70"/>
      <c r="K11" s="70"/>
      <c r="L11" s="70"/>
      <c r="M11" s="70"/>
      <c r="N11" s="70"/>
      <c r="O11" s="70"/>
      <c r="P11" s="71"/>
    </row>
    <row r="12" spans="1:16" x14ac:dyDescent="0.25">
      <c r="A12" s="460" t="s">
        <v>122</v>
      </c>
      <c r="B12" s="462" t="s">
        <v>123</v>
      </c>
      <c r="C12" s="462"/>
      <c r="D12" s="463"/>
      <c r="E12" s="466" t="s">
        <v>131</v>
      </c>
      <c r="F12" s="467"/>
      <c r="G12" s="467"/>
      <c r="H12" s="467"/>
      <c r="I12" s="467"/>
      <c r="J12" s="467"/>
      <c r="K12" s="467"/>
      <c r="L12" s="468"/>
      <c r="M12" s="468"/>
      <c r="N12" s="469"/>
      <c r="O12" s="470" t="s">
        <v>132</v>
      </c>
      <c r="P12" s="471"/>
    </row>
    <row r="13" spans="1:16" x14ac:dyDescent="0.25">
      <c r="A13" s="461"/>
      <c r="B13" s="464"/>
      <c r="C13" s="464"/>
      <c r="D13" s="465"/>
      <c r="E13" s="107" t="s">
        <v>133</v>
      </c>
      <c r="F13" s="56" t="s">
        <v>134</v>
      </c>
      <c r="G13" s="56" t="s">
        <v>135</v>
      </c>
      <c r="H13" s="56" t="s">
        <v>136</v>
      </c>
      <c r="I13" s="56" t="s">
        <v>137</v>
      </c>
      <c r="J13" s="56" t="s">
        <v>138</v>
      </c>
      <c r="K13" s="56" t="s">
        <v>139</v>
      </c>
      <c r="L13" s="56" t="s">
        <v>140</v>
      </c>
      <c r="M13" s="56" t="s">
        <v>145</v>
      </c>
      <c r="N13" s="108" t="s">
        <v>146</v>
      </c>
      <c r="O13" s="106" t="s">
        <v>141</v>
      </c>
      <c r="P13" s="82" t="s">
        <v>142</v>
      </c>
    </row>
    <row r="14" spans="1:16" x14ac:dyDescent="0.25">
      <c r="A14" s="357">
        <v>1</v>
      </c>
      <c r="B14" s="524" t="s">
        <v>547</v>
      </c>
      <c r="C14" s="525"/>
      <c r="D14" s="526"/>
      <c r="E14" s="505">
        <v>0.1</v>
      </c>
      <c r="F14" s="506">
        <v>0.1</v>
      </c>
      <c r="G14" s="506">
        <v>0.1</v>
      </c>
      <c r="H14" s="506">
        <v>0.1</v>
      </c>
      <c r="I14" s="506">
        <v>0.1</v>
      </c>
      <c r="J14" s="506">
        <v>0.1</v>
      </c>
      <c r="K14" s="506">
        <v>0.1</v>
      </c>
      <c r="L14" s="507">
        <v>0.1</v>
      </c>
      <c r="M14" s="507">
        <v>0.1</v>
      </c>
      <c r="N14" s="508">
        <v>0.1</v>
      </c>
      <c r="O14" s="522">
        <f>ORÇAMENTO!I33</f>
        <v>130671.37</v>
      </c>
      <c r="P14" s="523">
        <f>O14</f>
        <v>130671.37</v>
      </c>
    </row>
    <row r="15" spans="1:16" ht="22.5" customHeight="1" x14ac:dyDescent="0.25">
      <c r="A15" s="83">
        <v>2</v>
      </c>
      <c r="B15" s="437" t="str">
        <f>ORÇAMENTO!B34</f>
        <v>REDE COLETORA DE ESGOTOS - SERVIÇOS</v>
      </c>
      <c r="C15" s="438"/>
      <c r="D15" s="439"/>
      <c r="E15" s="110">
        <v>0.1</v>
      </c>
      <c r="F15" s="57">
        <v>0.1</v>
      </c>
      <c r="G15" s="57">
        <v>0.1</v>
      </c>
      <c r="H15" s="58">
        <v>0.1</v>
      </c>
      <c r="I15" s="57">
        <v>0.1</v>
      </c>
      <c r="J15" s="57">
        <v>0.1</v>
      </c>
      <c r="K15" s="57">
        <v>0.1</v>
      </c>
      <c r="L15" s="66">
        <v>0.1</v>
      </c>
      <c r="M15" s="66">
        <v>0.1</v>
      </c>
      <c r="N15" s="521">
        <v>0.1</v>
      </c>
      <c r="O15" s="514">
        <f>ORÇAMENTO!I201</f>
        <v>871061.80999999982</v>
      </c>
      <c r="P15" s="509">
        <f>P14+O15</f>
        <v>1001733.1799999998</v>
      </c>
    </row>
    <row r="16" spans="1:16" ht="22.5" customHeight="1" x14ac:dyDescent="0.25">
      <c r="A16" s="83">
        <v>3</v>
      </c>
      <c r="B16" s="435" t="str">
        <f>ORÇAMENTO!B202</f>
        <v>REDE COLETORA DE ESGOTOS - MATERIAIS</v>
      </c>
      <c r="C16" s="436"/>
      <c r="D16" s="436"/>
      <c r="E16" s="110">
        <v>0.1</v>
      </c>
      <c r="F16" s="57">
        <v>0.1</v>
      </c>
      <c r="G16" s="57">
        <v>0.1</v>
      </c>
      <c r="H16" s="58">
        <v>0.1</v>
      </c>
      <c r="I16" s="57">
        <v>0.1</v>
      </c>
      <c r="J16" s="57">
        <v>0.1</v>
      </c>
      <c r="K16" s="57">
        <v>0.1</v>
      </c>
      <c r="L16" s="66">
        <v>0.1</v>
      </c>
      <c r="M16" s="66">
        <v>0.1</v>
      </c>
      <c r="N16" s="109">
        <v>0.1</v>
      </c>
      <c r="O16" s="514">
        <f>ORÇAMENTO!I217</f>
        <v>462556.11</v>
      </c>
      <c r="P16" s="509">
        <f t="shared" ref="P16:P18" si="0">P15+O16</f>
        <v>1464289.2899999998</v>
      </c>
    </row>
    <row r="17" spans="1:16" ht="22.5" customHeight="1" x14ac:dyDescent="0.25">
      <c r="A17" s="83">
        <v>4</v>
      </c>
      <c r="B17" s="432" t="str">
        <f>ORÇAMENTO!B218</f>
        <v>LIGAÇÕES DOMICILIARES DE ESGOTO - SERVIÇOS</v>
      </c>
      <c r="C17" s="433"/>
      <c r="D17" s="434"/>
      <c r="E17" s="111">
        <v>0.1</v>
      </c>
      <c r="F17" s="59">
        <v>0.1</v>
      </c>
      <c r="G17" s="59">
        <v>0.1</v>
      </c>
      <c r="H17" s="60">
        <v>0.1</v>
      </c>
      <c r="I17" s="59">
        <v>0.1</v>
      </c>
      <c r="J17" s="59">
        <v>0.1</v>
      </c>
      <c r="K17" s="59">
        <v>0.1</v>
      </c>
      <c r="L17" s="67">
        <v>0.1</v>
      </c>
      <c r="M17" s="67">
        <v>0.1</v>
      </c>
      <c r="N17" s="112">
        <v>0.1</v>
      </c>
      <c r="O17" s="515">
        <f>ORÇAMENTO!I258</f>
        <v>45404.59</v>
      </c>
      <c r="P17" s="509">
        <f t="shared" si="0"/>
        <v>1509693.88</v>
      </c>
    </row>
    <row r="18" spans="1:16" ht="22.5" customHeight="1" thickBot="1" x14ac:dyDescent="0.3">
      <c r="A18" s="83">
        <v>5</v>
      </c>
      <c r="B18" s="430" t="str">
        <f>ORÇAMENTO!B259</f>
        <v>LIGAÇÕES DOMICILIARES DE ESGOTO - MATERIAIS</v>
      </c>
      <c r="C18" s="431"/>
      <c r="D18" s="431"/>
      <c r="E18" s="113">
        <v>0.1</v>
      </c>
      <c r="F18" s="103">
        <v>0.1</v>
      </c>
      <c r="G18" s="103">
        <v>0.1</v>
      </c>
      <c r="H18" s="104">
        <v>0.1</v>
      </c>
      <c r="I18" s="103">
        <v>0.1</v>
      </c>
      <c r="J18" s="103">
        <v>0.1</v>
      </c>
      <c r="K18" s="103">
        <v>0.1</v>
      </c>
      <c r="L18" s="105">
        <v>0.1</v>
      </c>
      <c r="M18" s="105">
        <v>0.1</v>
      </c>
      <c r="N18" s="114">
        <v>0.1</v>
      </c>
      <c r="O18" s="516">
        <f>ORÇAMENTO!I271</f>
        <v>90524.46</v>
      </c>
      <c r="P18" s="509">
        <f t="shared" si="0"/>
        <v>1600218.3399999999</v>
      </c>
    </row>
    <row r="19" spans="1:16" x14ac:dyDescent="0.25">
      <c r="A19" s="440" t="s">
        <v>143</v>
      </c>
      <c r="B19" s="441"/>
      <c r="C19" s="441"/>
      <c r="D19" s="115" t="s">
        <v>124</v>
      </c>
      <c r="E19" s="116">
        <f>E14*$O$14+E15*$O$15+E16*$O$16+E17*$O$17+E18*$O$18</f>
        <v>160021.834</v>
      </c>
      <c r="F19" s="116">
        <f>F14*$O$14+F15*$O$15+F16*$O$16+F17*$O$17+F18*$O$18</f>
        <v>160021.834</v>
      </c>
      <c r="G19" s="116">
        <f>G14*$O$14+G15*$O$15+G16*$O$16+G17*$O$17+G18*$O$18</f>
        <v>160021.834</v>
      </c>
      <c r="H19" s="116">
        <f>H14*$O$14+H15*$O$15+H16*$O$16+H17*$O$17+H18*$O$18</f>
        <v>160021.834</v>
      </c>
      <c r="I19" s="116">
        <f>I14*$O$14+I15*$O$15+I16*$O$16+I17*$O$17+I18*$O$18</f>
        <v>160021.834</v>
      </c>
      <c r="J19" s="116">
        <f>J14*$O$14+J15*$O$15+J16*$O$16+J17*$O$17+J18*$O$18</f>
        <v>160021.834</v>
      </c>
      <c r="K19" s="116">
        <f>K14*$O$14+K15*$O$15+K16*$O$16+K17*$O$17+K18*$O$18</f>
        <v>160021.834</v>
      </c>
      <c r="L19" s="116">
        <f>L14*$O$14+L15*$O$15+L16*$O$16+L17*$O$17+L18*$O$18</f>
        <v>160021.834</v>
      </c>
      <c r="M19" s="116">
        <f>M14*$O$14+M15*$O$15+M16*$O$16+M17*$O$17+M18*$O$18</f>
        <v>160021.834</v>
      </c>
      <c r="N19" s="116">
        <f>N14*$O$14+N15*$O$15+N16*$O$16+N17*$O$17+N18*$O$18</f>
        <v>160021.834</v>
      </c>
      <c r="O19" s="517">
        <f>SUM(E19:N19)</f>
        <v>1600218.34</v>
      </c>
      <c r="P19" s="510">
        <f>O19</f>
        <v>1600218.34</v>
      </c>
    </row>
    <row r="20" spans="1:16" x14ac:dyDescent="0.25">
      <c r="A20" s="442"/>
      <c r="B20" s="443"/>
      <c r="C20" s="443"/>
      <c r="D20" s="63" t="s">
        <v>6</v>
      </c>
      <c r="E20" s="64">
        <f>ROUND(E19/P18,5)</f>
        <v>0.1</v>
      </c>
      <c r="F20" s="64">
        <f>ROUND(F19/P18,5)</f>
        <v>0.1</v>
      </c>
      <c r="G20" s="64">
        <f>ROUND(G19/P18,5)</f>
        <v>0.1</v>
      </c>
      <c r="H20" s="64">
        <f>ROUND(H19/P18,5)</f>
        <v>0.1</v>
      </c>
      <c r="I20" s="64">
        <f>ROUND(I19/P18,5)</f>
        <v>0.1</v>
      </c>
      <c r="J20" s="64">
        <f>ROUND(J19/P18,5)</f>
        <v>0.1</v>
      </c>
      <c r="K20" s="64">
        <f>ROUND(K19/P18,5)</f>
        <v>0.1</v>
      </c>
      <c r="L20" s="64">
        <f>ROUND(L19/P18,5)</f>
        <v>0.1</v>
      </c>
      <c r="M20" s="64">
        <f>ROUND(M19/P18,5)</f>
        <v>0.1</v>
      </c>
      <c r="N20" s="64">
        <f>ROUND(N19/P18,5)</f>
        <v>0.1</v>
      </c>
      <c r="O20" s="518">
        <f>SUM(E20:N20)</f>
        <v>0.99999999999999989</v>
      </c>
      <c r="P20" s="511">
        <f>O20</f>
        <v>0.99999999999999989</v>
      </c>
    </row>
    <row r="21" spans="1:16" x14ac:dyDescent="0.25">
      <c r="A21" s="444" t="s">
        <v>125</v>
      </c>
      <c r="B21" s="445"/>
      <c r="C21" s="445"/>
      <c r="D21" s="61" t="s">
        <v>124</v>
      </c>
      <c r="E21" s="62">
        <f>E19</f>
        <v>160021.834</v>
      </c>
      <c r="F21" s="65">
        <f t="shared" ref="F21" si="1">E21+F19</f>
        <v>320043.66800000001</v>
      </c>
      <c r="G21" s="65">
        <f t="shared" ref="G21" si="2">F21+G19</f>
        <v>480065.50199999998</v>
      </c>
      <c r="H21" s="65">
        <f t="shared" ref="H21" si="3">G21+H19</f>
        <v>640087.33600000001</v>
      </c>
      <c r="I21" s="65">
        <f t="shared" ref="I21" si="4">H21+I19</f>
        <v>800109.17</v>
      </c>
      <c r="J21" s="65">
        <f t="shared" ref="J21" si="5">I21+J19</f>
        <v>960131.00400000007</v>
      </c>
      <c r="K21" s="65">
        <f t="shared" ref="K21" si="6">J21+K19</f>
        <v>1120152.838</v>
      </c>
      <c r="L21" s="65">
        <f t="shared" ref="L21" si="7">K21+L19</f>
        <v>1280174.672</v>
      </c>
      <c r="M21" s="65">
        <f t="shared" ref="M21" si="8">L21+M19</f>
        <v>1440196.5060000001</v>
      </c>
      <c r="N21" s="65">
        <f t="shared" ref="N21" si="9">M21+N19</f>
        <v>1600218.34</v>
      </c>
      <c r="O21" s="519">
        <f>N21</f>
        <v>1600218.34</v>
      </c>
      <c r="P21" s="512">
        <f>O21</f>
        <v>1600218.34</v>
      </c>
    </row>
    <row r="22" spans="1:16" ht="15.75" thickBot="1" x14ac:dyDescent="0.3">
      <c r="A22" s="446"/>
      <c r="B22" s="447"/>
      <c r="C22" s="447"/>
      <c r="D22" s="117" t="s">
        <v>6</v>
      </c>
      <c r="E22" s="118">
        <f>E21/P18</f>
        <v>0.1</v>
      </c>
      <c r="F22" s="118">
        <f>F21/P18</f>
        <v>0.2</v>
      </c>
      <c r="G22" s="118">
        <f>G21/P18</f>
        <v>0.3</v>
      </c>
      <c r="H22" s="118">
        <f>H21/P18</f>
        <v>0.4</v>
      </c>
      <c r="I22" s="118">
        <f>I21/P18</f>
        <v>0.50000000000000011</v>
      </c>
      <c r="J22" s="118">
        <f>J21/P18</f>
        <v>0.60000000000000009</v>
      </c>
      <c r="K22" s="118">
        <f>K21/P18</f>
        <v>0.70000000000000007</v>
      </c>
      <c r="L22" s="118">
        <f>L21/P18</f>
        <v>0.8</v>
      </c>
      <c r="M22" s="118">
        <f>M21/P18</f>
        <v>0.90000000000000013</v>
      </c>
      <c r="N22" s="118">
        <f>N21/P18</f>
        <v>1.0000000000000002</v>
      </c>
      <c r="O22" s="520">
        <f>N22</f>
        <v>1.0000000000000002</v>
      </c>
      <c r="P22" s="513">
        <f>O22</f>
        <v>1.0000000000000002</v>
      </c>
    </row>
    <row r="23" spans="1:16" x14ac:dyDescent="0.25">
      <c r="A23" s="84"/>
      <c r="B23" s="85"/>
      <c r="C23" s="85"/>
      <c r="D23" s="85"/>
      <c r="E23" s="86"/>
      <c r="F23" s="86"/>
      <c r="G23" s="87"/>
      <c r="H23" s="88"/>
      <c r="I23" s="89"/>
      <c r="J23" s="89"/>
      <c r="K23" s="89"/>
      <c r="L23" s="89"/>
      <c r="M23" s="89"/>
      <c r="N23" s="89"/>
      <c r="O23" s="89"/>
      <c r="P23" s="90"/>
    </row>
    <row r="24" spans="1:16" x14ac:dyDescent="0.25">
      <c r="A24" s="84"/>
      <c r="B24" s="85"/>
      <c r="C24" s="85"/>
      <c r="D24" s="85"/>
      <c r="E24" s="86"/>
      <c r="F24" s="86"/>
      <c r="G24" s="87"/>
      <c r="H24" s="88"/>
      <c r="I24" s="89"/>
      <c r="J24" s="89"/>
      <c r="K24" s="89"/>
      <c r="L24" s="89"/>
      <c r="M24" s="89"/>
      <c r="N24" s="89"/>
      <c r="O24" s="89"/>
      <c r="P24" s="90"/>
    </row>
    <row r="25" spans="1:16" x14ac:dyDescent="0.25">
      <c r="A25" s="84"/>
      <c r="B25" s="85"/>
      <c r="C25" s="85"/>
      <c r="D25" s="85"/>
      <c r="E25" s="86"/>
      <c r="F25" s="86"/>
      <c r="G25" s="87"/>
      <c r="H25" s="88"/>
      <c r="I25" s="89"/>
      <c r="J25" s="89"/>
      <c r="K25" s="89"/>
      <c r="L25" s="89"/>
      <c r="M25" s="89"/>
      <c r="N25" s="89"/>
      <c r="O25" s="89"/>
      <c r="P25" s="90"/>
    </row>
    <row r="26" spans="1:16" x14ac:dyDescent="0.25">
      <c r="A26" s="91"/>
      <c r="B26" s="92"/>
      <c r="C26" s="426" t="s">
        <v>144</v>
      </c>
      <c r="D26" s="426"/>
      <c r="E26" s="426"/>
      <c r="F26" s="426"/>
      <c r="G26" s="426"/>
      <c r="H26" s="92"/>
      <c r="I26" s="93"/>
      <c r="J26" s="426" t="s">
        <v>144</v>
      </c>
      <c r="K26" s="426"/>
      <c r="L26" s="426"/>
      <c r="M26" s="426"/>
      <c r="N26" s="426"/>
      <c r="O26" s="426"/>
      <c r="P26" s="94"/>
    </row>
    <row r="27" spans="1:16" x14ac:dyDescent="0.25">
      <c r="A27" s="95"/>
      <c r="B27" s="92"/>
      <c r="C27" s="426" t="s">
        <v>347</v>
      </c>
      <c r="D27" s="426"/>
      <c r="E27" s="426"/>
      <c r="F27" s="426"/>
      <c r="G27" s="426"/>
      <c r="H27" s="92"/>
      <c r="I27" s="96"/>
      <c r="J27" s="427" t="s">
        <v>11</v>
      </c>
      <c r="K27" s="427"/>
      <c r="L27" s="427"/>
      <c r="M27" s="427"/>
      <c r="N27" s="427"/>
      <c r="O27" s="427"/>
      <c r="P27" s="98"/>
    </row>
    <row r="28" spans="1:16" x14ac:dyDescent="0.25">
      <c r="A28" s="95"/>
      <c r="B28" s="92"/>
      <c r="C28" s="426" t="s">
        <v>10</v>
      </c>
      <c r="D28" s="426"/>
      <c r="E28" s="426"/>
      <c r="F28" s="426"/>
      <c r="G28" s="426"/>
      <c r="H28" s="92"/>
      <c r="I28" s="96"/>
      <c r="J28" s="427" t="s">
        <v>126</v>
      </c>
      <c r="K28" s="427"/>
      <c r="L28" s="427"/>
      <c r="M28" s="427"/>
      <c r="N28" s="427"/>
      <c r="O28" s="427"/>
      <c r="P28" s="98"/>
    </row>
    <row r="29" spans="1:16" x14ac:dyDescent="0.25">
      <c r="A29" s="99"/>
      <c r="B29" s="100"/>
      <c r="C29" s="101"/>
      <c r="D29" s="101"/>
      <c r="E29" s="97"/>
      <c r="F29" s="97"/>
      <c r="G29" s="102"/>
      <c r="H29" s="102"/>
      <c r="I29" s="96"/>
      <c r="J29" s="427" t="s">
        <v>13</v>
      </c>
      <c r="K29" s="427"/>
      <c r="L29" s="427"/>
      <c r="M29" s="427"/>
      <c r="N29" s="427"/>
      <c r="O29" s="427"/>
      <c r="P29" s="98"/>
    </row>
    <row r="30" spans="1:16" ht="15.75" thickBot="1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</sheetData>
  <mergeCells count="26">
    <mergeCell ref="A1:P1"/>
    <mergeCell ref="A2:P2"/>
    <mergeCell ref="A3:P3"/>
    <mergeCell ref="A5:P5"/>
    <mergeCell ref="A12:A13"/>
    <mergeCell ref="B12:D13"/>
    <mergeCell ref="E12:N12"/>
    <mergeCell ref="O12:P12"/>
    <mergeCell ref="J26:O26"/>
    <mergeCell ref="B7:F7"/>
    <mergeCell ref="B8:G8"/>
    <mergeCell ref="B9:G9"/>
    <mergeCell ref="B10:G10"/>
    <mergeCell ref="B18:D18"/>
    <mergeCell ref="B17:D17"/>
    <mergeCell ref="B16:D16"/>
    <mergeCell ref="B15:D15"/>
    <mergeCell ref="A19:C20"/>
    <mergeCell ref="A21:C22"/>
    <mergeCell ref="C26:G26"/>
    <mergeCell ref="B14:D14"/>
    <mergeCell ref="C27:G27"/>
    <mergeCell ref="J27:O27"/>
    <mergeCell ref="C28:G28"/>
    <mergeCell ref="J28:O28"/>
    <mergeCell ref="J29:O29"/>
  </mergeCells>
  <phoneticPr fontId="14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9" shapeId="4097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28575</xdr:rowOff>
              </from>
              <to>
                <xdr:col>1</xdr:col>
                <xdr:colOff>200025</xdr:colOff>
                <xdr:row>3</xdr:row>
                <xdr:rowOff>152400</xdr:rowOff>
              </to>
            </anchor>
          </objectPr>
        </oleObject>
      </mc:Choice>
      <mc:Fallback>
        <oleObject progId="CorelDraw.Graphic.9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CÁLCULOS</vt:lpstr>
      <vt:lpstr>CRONOGRAMA</vt:lpstr>
      <vt:lpstr>CRONOGRAMA!Area_de_impressao</vt:lpstr>
      <vt:lpstr>ORÇAMENTO!Area_de_impressao</vt:lpstr>
    </vt:vector>
  </TitlesOfParts>
  <Company>P|REFEITURA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PLANEJAMENTO10</dc:creator>
  <cp:lastModifiedBy>Christiano Silvestri</cp:lastModifiedBy>
  <cp:lastPrinted>2025-07-17T11:33:25Z</cp:lastPrinted>
  <dcterms:created xsi:type="dcterms:W3CDTF">2015-08-04T12:57:21Z</dcterms:created>
  <dcterms:modified xsi:type="dcterms:W3CDTF">2025-09-04T18:40:00Z</dcterms:modified>
</cp:coreProperties>
</file>